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94" activeTab="29"/>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state="hidden" r:id="rId38"/>
    <sheet name="Ограничения" sheetId="38" state="hidden" r:id="rId39"/>
    <sheet name="ИП" sheetId="39" state="hidden" r:id="rId40"/>
    <sheet name="ИП. Детализация" sheetId="40" state="hidden" r:id="rId41"/>
    <sheet name="ИП. Финансовый план" sheetId="41" state="hidden" r:id="rId42"/>
    <sheet name="ИП. КНЭ" sheetId="42" state="hidden" r:id="rId43"/>
    <sheet name="ТП" sheetId="43" state="hidden" r:id="rId44"/>
    <sheet name="Договоры" sheetId="44" state="hidden" r:id="rId45"/>
    <sheet name="Порядок ТП" sheetId="45" state="hidden" r:id="rId46"/>
    <sheet name="Предложение" sheetId="46" state="hidden" r:id="rId47"/>
    <sheet name="Сведения о закупках" sheetId="47" state="hidden" r:id="rId48"/>
    <sheet name="Потребительские характеристики" sheetId="48" state="hidden"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Т-гор.вода'!$139:$140</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Т-гор.вода'!$141:$142</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тарифов'!$100:$140</definedName>
    <definedName name="BLOCK_PT_VOTV">'Перечень тарифов'!$142:$156</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тарифов'!$Z$12:$Z$158</definedName>
    <definedName name="DIFFERENTIATION_TARIFF_VD_ID">'Перечень тарифов'!$AB$12:$AB$158</definedName>
    <definedName name="DIFFERENTIATION_TARIFF_VTAR_ID">'Перечень тарифов'!$AA$12:$AA$158</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Т-подкл(инд)'!$AD$8:$AI$8</definedName>
    <definedName name="et_HEAT_TARIFF_H_PERIOD_NOT_COLOR">'ТС. Т-подкл(инд)'!$AD$19:$AI$19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Т-подкл(инд)'!$AO$37</definedName>
    <definedName name="HEAT_TARIFF_H_ADD_HL_LOAD_COLUMN_MARKER">'ТС. Т-подкл(инд)'!$AM$37</definedName>
    <definedName name="HEAT_TARIFF_H_ADD_HL_NETS_COLUMN_MARKER">'ТС. Т-подкл(инд)'!$AN$37</definedName>
    <definedName name="HEAT_TARIFF_H_DEL_HL_DIAMETERS_COLUMN_MARKER">'ТС. Т-подкл(инд)'!$AO$37</definedName>
    <definedName name="HEAT_TARIFF_H_DEL_HL_GC_COLUMN_MARKER">'ТС. Т-подкл(инд)'!$Q$37</definedName>
    <definedName name="HEAT_TARIFF_H_DEL_HL_LOAD_COLUMN_MARKER">'ТС. Т-подкл(инд)'!$AM$37</definedName>
    <definedName name="HEAT_TARIFF_H_DEL_HL_NETS_COLUMN_MARKER">'ТС. Т-подкл(инд)'!$AN$37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Т-подкл(инд)'!$AO$37</definedName>
    <definedName name="HEAT_TARIFF_H_NUM_GC_COLUMN_MARKER">'ТС. Т-подкл(инд)'!$J$43</definedName>
    <definedName name="HEAT_TARIFF_H_NUM_IST_TE_COLUMN_MARKER">'ТС. Т-подкл(инд)'!$H$43</definedName>
    <definedName name="HEAT_TARIFF_H_NUM_LOAD_COLUMN_MARKER">'ТС. Т-подкл(инд)'!$AM$37</definedName>
    <definedName name="HEAT_TARIFF_H_NUM_NETS_COLUMN_MARKER">'ТС. Т-подкл(инд)'!$AN$37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Предложение!$L$86</definedName>
    <definedName name="OFFER_METHOD">Предложение!$K$24:$K$84</definedName>
    <definedName name="OFFER_METHOD_FLAG">TEHSHEET!$L$6</definedName>
    <definedName name="OFFER_TARIFF_A_1">Предложение!$24:$26</definedName>
    <definedName name="OFFER_TARIFF_A_2">Предложение!$88:$90</definedName>
    <definedName name="OFFER_TARIFF_A_3">Предложение!$150:$152</definedName>
    <definedName name="OFFER_TARIFF_A_4">Предложение!$212:$214</definedName>
    <definedName name="OFFER_TARIFF_A_5">Предложение!$274:$276</definedName>
    <definedName name="OFFER_TARIFF_A_COLDVSNA_1">Предложение!$48:$50</definedName>
    <definedName name="OFFER_TARIFF_A_COLDVSNA_2">Предложение!$112:$114</definedName>
    <definedName name="OFFER_TARIFF_A_COLDVSNA_3">Предложение!$174:$176</definedName>
    <definedName name="OFFER_TARIFF_A_COLDVSNA_4">Предложение!$236:$238</definedName>
    <definedName name="OFFER_TARIFF_A_COLDVSNA_5">Предложение!$298:$300</definedName>
    <definedName name="OFFER_TARIFF_A_HOTVSNA_1">Предложение!$63:$69</definedName>
    <definedName name="OFFER_TARIFF_A_HOTVSNA_2">Предложение!$127:$133</definedName>
    <definedName name="OFFER_TARIFF_A_HOTVSNA_3">Предложение!$189:$195</definedName>
    <definedName name="OFFER_TARIFF_A_HOTVSNA_4">Предложение!$251:$257</definedName>
    <definedName name="OFFER_TARIFF_A_HOTVSNA_5">Предложение!$313:$319</definedName>
    <definedName name="OFFER_TARIFF_A_VOTV_1">Предложение!$76:$78</definedName>
    <definedName name="OFFER_TARIFF_A_VOTV_2">Предложение!$140:$142</definedName>
    <definedName name="OFFER_TARIFF_A_VOTV_3">Предложение!$202:$204</definedName>
    <definedName name="OFFER_TARIFF_A_VOTV_4">Предложение!$264:$266</definedName>
    <definedName name="OFFER_TARIFF_A_VOTV_5">Предложение!$326:$328</definedName>
    <definedName name="OFFER_TARIFF_B_1">Предложение!$27:$29</definedName>
    <definedName name="OFFER_TARIFF_B_2">Предложение!$91:$93</definedName>
    <definedName name="OFFER_TARIFF_B_3">Предложение!$153:$155</definedName>
    <definedName name="OFFER_TARIFF_B_4">Предложение!$215:$217</definedName>
    <definedName name="OFFER_TARIFF_B_5">Предложение!$277:$279</definedName>
    <definedName name="OFFER_TARIFF_B_COLDVSNA_1">Предложение!$51:$53</definedName>
    <definedName name="OFFER_TARIFF_B_COLDVSNA_2">Предложение!$115:$117</definedName>
    <definedName name="OFFER_TARIFF_B_COLDVSNA_3">Предложение!$177:$179</definedName>
    <definedName name="OFFER_TARIFF_B_COLDVSNA_4">Предложение!$239:$241</definedName>
    <definedName name="OFFER_TARIFF_B_COLDVSNA_5">Предложение!$301:$303</definedName>
    <definedName name="OFFER_TARIFF_B_HOTVSNA_1">Предложение!$70:$72</definedName>
    <definedName name="OFFER_TARIFF_B_HOTVSNA_2">Предложение!$134:$136</definedName>
    <definedName name="OFFER_TARIFF_B_HOTVSNA_3">Предложение!$196:$198</definedName>
    <definedName name="OFFER_TARIFF_B_HOTVSNA_4">Предложение!$258:$260</definedName>
    <definedName name="OFFER_TARIFF_B_HOTVSNA_5">Предложение!$320:$322</definedName>
    <definedName name="OFFER_TARIFF_B_VOTV_1">Предложение!$79:$81</definedName>
    <definedName name="OFFER_TARIFF_B_VOTV_2">Предложение!$143:$145</definedName>
    <definedName name="OFFER_TARIFF_B_VOTV_3">Предложение!$205:$207</definedName>
    <definedName name="OFFER_TARIFF_B_VOTV_4">Предложение!$267:$269</definedName>
    <definedName name="OFFER_TARIFF_B_VOTV_5">Предложение!$329:$331</definedName>
    <definedName name="OFFER_TARIFF_C_1">Предложение!$30:$32</definedName>
    <definedName name="OFFER_TARIFF_C_2">Предложение!$94:$96</definedName>
    <definedName name="OFFER_TARIFF_C_3">Предложение!$156:$158</definedName>
    <definedName name="OFFER_TARIFF_C_4">Предложение!$218:$220</definedName>
    <definedName name="OFFER_TARIFF_C_5">Предложение!$280:$282</definedName>
    <definedName name="OFFER_TARIFF_C_COLDVSNA_1">Предложение!$54:$56</definedName>
    <definedName name="OFFER_TARIFF_C_COLDVSNA_2">Предложение!$118:$120</definedName>
    <definedName name="OFFER_TARIFF_C_COLDVSNA_3">Предложение!$180:$182</definedName>
    <definedName name="OFFER_TARIFF_C_COLDVSNA_4">Предложение!$242:$244</definedName>
    <definedName name="OFFER_TARIFF_C_COLDVSNA_5">Предложение!$304:$306</definedName>
    <definedName name="OFFER_TARIFF_C_HOTVSNA_1">Предложение!$73:$75</definedName>
    <definedName name="OFFER_TARIFF_C_HOTVSNA_2">Предложение!$137:$139</definedName>
    <definedName name="OFFER_TARIFF_C_HOTVSNA_3">Предложение!$199:$201</definedName>
    <definedName name="OFFER_TARIFF_C_HOTVSNA_4">Предложение!$261:$263</definedName>
    <definedName name="OFFER_TARIFF_C_HOTVSNA_5">Предложение!$323:$325</definedName>
    <definedName name="OFFER_TARIFF_C_VOTV_1">Предложение!$82:$84</definedName>
    <definedName name="OFFER_TARIFF_C_VOTV_2">Предложение!$146:$148</definedName>
    <definedName name="OFFER_TARIFF_C_VOTV_3">Предложение!$208:$210</definedName>
    <definedName name="OFFER_TARIFF_C_VOTV_4">Предложение!$270:$272</definedName>
    <definedName name="OFFER_TARIFF_C_VOTV_5">Предложение!$332:$334</definedName>
    <definedName name="OFFER_TARIFF_D_1">Предложение!$33:$35</definedName>
    <definedName name="OFFER_TARIFF_D_2">Предложение!$97:$99</definedName>
    <definedName name="OFFER_TARIFF_D_3">Предложение!$159:$161</definedName>
    <definedName name="OFFER_TARIFF_D_4">Предложение!$221:$223</definedName>
    <definedName name="OFFER_TARIFF_D_5">Предложение!$283:$285</definedName>
    <definedName name="OFFER_TARIFF_D_COLDVSNA_1">Предложение!$57:$59</definedName>
    <definedName name="OFFER_TARIFF_D_COLDVSNA_2">Предложение!$121:$123</definedName>
    <definedName name="OFFER_TARIFF_D_COLDVSNA_3">Предложение!$183:$185</definedName>
    <definedName name="OFFER_TARIFF_D_COLDVSNA_4">Предложение!$245:$247</definedName>
    <definedName name="OFFER_TARIFF_D_COLDVSNA_5">Предложение!$307:$309</definedName>
    <definedName name="OFFER_TARIFF_E_COLDVSNA_1">Предложение!$60:$62</definedName>
    <definedName name="OFFER_TARIFF_E_COLDVSNA_2">Предложение!$124:$126</definedName>
    <definedName name="OFFER_TARIFF_E_COLDVSNA_3">Предложение!$186:$188</definedName>
    <definedName name="OFFER_TARIFF_E_COLDVSNA_4">Предложение!$248:$250</definedName>
    <definedName name="OFFER_TARIFF_E_COLDVSNA_5">Предложение!$310:$312</definedName>
    <definedName name="OFFER_TARIFF_E1_1">Предложение!$36:$38</definedName>
    <definedName name="OFFER_TARIFF_E1_2">Предложение!$100:$102</definedName>
    <definedName name="OFFER_TARIFF_E1_3">Предложение!$162:$164</definedName>
    <definedName name="OFFER_TARIFF_E1_4">Предложение!$224:$226</definedName>
    <definedName name="OFFER_TARIFF_E1_5">Предложение!$286:$288</definedName>
    <definedName name="OFFER_TARIFF_E2_1">Предложение!$39:$41</definedName>
    <definedName name="OFFER_TARIFF_E2_2">Предложение!$103:$105</definedName>
    <definedName name="OFFER_TARIFF_E2_3">Предложение!$165:$167</definedName>
    <definedName name="OFFER_TARIFF_E2_4">Предложение!$227:$229</definedName>
    <definedName name="OFFER_TARIFF_E2_5">Предложение!$289:$291</definedName>
    <definedName name="OFFER_TARIFF_F_1">Предложение!$42:$44</definedName>
    <definedName name="OFFER_TARIFF_F_2">Предложение!$106:$108</definedName>
    <definedName name="OFFER_TARIFF_F_3">Предложение!$168:$170</definedName>
    <definedName name="OFFER_TARIFF_F_4">Предложение!$230:$232</definedName>
    <definedName name="OFFER_TARIFF_F_5">Предложение!$292:$294</definedName>
    <definedName name="OFFER_TARIFF_G_1">Предложение!$45:$47</definedName>
    <definedName name="OFFER_TARIFF_G_2">Предложение!$109:$111</definedName>
    <definedName name="OFFER_TARIFF_G_3">Предложение!$171:$173</definedName>
    <definedName name="OFFER_TARIFF_G_4">Предложение!$233:$235</definedName>
    <definedName name="OFFER_TARIFF_G_5">Предложение!$295:$297</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ТП'!$E$31</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Предложение!$G$114</definedName>
    <definedName name="pIns_PT_VTAR_A_COLDVSNA_OFFER_3">Предложение!$G$176</definedName>
    <definedName name="pIns_PT_VTAR_A_COLDVSNA_OFFER_4">Предложение!$G$238</definedName>
    <definedName name="pIns_PT_VTAR_A_COLDVSNA_OFFER_5">Предложение!$G$300</definedName>
    <definedName name="pIns_PT_VTAR_A_COLDVSNA_OFFER5">Предложение!$G$300</definedName>
    <definedName name="pIns_PT_VTAR_A_HOTVSNA">'ГВС. Т-гор.вода'!$T$138</definedName>
    <definedName name="pIns_PT_VTAR_A_HOTVSNA_OFFER_1">Предложение!$G$69</definedName>
    <definedName name="pIns_PT_VTAR_A_HOTVSNA_OFFER_2">Предложение!$G$133</definedName>
    <definedName name="pIns_PT_VTAR_A_HOTVSNA_OFFER_3">Предложение!$G$195</definedName>
    <definedName name="pIns_PT_VTAR_A_HOTVSNA_OFFER_4">Предложение!$G$257</definedName>
    <definedName name="pIns_PT_VTAR_A_HOTVSNA_OFFER_5">Предложение!$G$319</definedName>
    <definedName name="pIns_PT_VTAR_A_OFFER_1">Предложение!$G$26</definedName>
    <definedName name="pIns_PT_VTAR_A_OFFER_2">Предложение!$G$90</definedName>
    <definedName name="pIns_PT_VTAR_A_OFFER_3">Предложение!$G$152</definedName>
    <definedName name="pIns_PT_VTAR_A_OFFER_4">Предложение!$G$214</definedName>
    <definedName name="pIns_PT_VTAR_A_OFFER_5">Предложение!$G$276</definedName>
    <definedName name="pIns_PT_VTAR_A_VOTV">'ВО. Т-во'!$T$53</definedName>
    <definedName name="pIns_PT_VTAR_A_VOTV_OFFER_1">Предложение!$G$78</definedName>
    <definedName name="pIns_PT_VTAR_A_VOTV_OFFER_2">Предложение!$G$142</definedName>
    <definedName name="pIns_PT_VTAR_A_VOTV_OFFER_3">Предложение!$G$204</definedName>
    <definedName name="pIns_PT_VTAR_A_VOTV_OFFER_4">Предложение!$G$266</definedName>
    <definedName name="pIns_PT_VTAR_A_VOTV_OFFER_5">Предложение!$G$328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Предложение!$G$117</definedName>
    <definedName name="pIns_PT_VTAR_B_COLDVSNA_OFFER_3">Предложение!$G$179</definedName>
    <definedName name="pIns_PT_VTAR_B_COLDVSNA_OFFER_4">Предложение!$G$241</definedName>
    <definedName name="pIns_PT_VTAR_B_COLDVSNA_OFFER_5">Предложение!$G$303</definedName>
    <definedName name="pIns_PT_VTAR_B_HOTVSNA">'ГВС. Т-транс'!$T$54</definedName>
    <definedName name="pIns_PT_VTAR_B_HOTVSNA_OFFER_1">Предложение!$G$72</definedName>
    <definedName name="pIns_PT_VTAR_B_HOTVSNA_OFFER_2">Предложение!$G$136</definedName>
    <definedName name="pIns_PT_VTAR_B_HOTVSNA_OFFER_3">Предложение!$G$198</definedName>
    <definedName name="pIns_PT_VTAR_B_HOTVSNA_OFFER_4">Предложение!$G$260</definedName>
    <definedName name="pIns_PT_VTAR_B_HOTVSNA_OFFER_5">Предложение!$G$322</definedName>
    <definedName name="pIns_PT_VTAR_B_OFFER_1">Предложение!$G$29</definedName>
    <definedName name="pIns_PT_VTAR_B_OFFER_2">Предложение!$G$93</definedName>
    <definedName name="pIns_PT_VTAR_B_OFFER_3">Предложение!$G$155</definedName>
    <definedName name="pIns_PT_VTAR_B_OFFER_4">Предложение!$G$217</definedName>
    <definedName name="pIns_PT_VTAR_B_OFFER_5">Предложение!$G$279</definedName>
    <definedName name="pIns_PT_VTAR_B_VOTV">'ВО. Т-транс'!$T$53</definedName>
    <definedName name="pIns_PT_VTAR_B_VOTV_OFFER_1">Предложение!$G$81</definedName>
    <definedName name="pIns_PT_VTAR_B_VOTV_OFFER_2">Предложение!$G$145</definedName>
    <definedName name="pIns_PT_VTAR_B_VOTV_OFFER_3">Предложение!$G$207</definedName>
    <definedName name="pIns_PT_VTAR_B_VOTV_OFFER_4">Предложение!$G$269</definedName>
    <definedName name="pIns_PT_VTAR_B_VOTV_OFFER_5">Предложение!$G$331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Предложение!$G$120</definedName>
    <definedName name="pIns_PT_VTAR_C_COLDVSNA_OFFER_3">Предложение!$G$182</definedName>
    <definedName name="pIns_PT_VTAR_C_COLDVSNA_OFFER_4">Предложение!$G$244</definedName>
    <definedName name="pIns_PT_VTAR_C_COLDVSNA_OFFER_5">Предложение!$G$306</definedName>
    <definedName name="pIns_PT_VTAR_C_HOTVSNA">'ГВС. Т-подкл'!$T$63</definedName>
    <definedName name="pIns_PT_VTAR_C_HOTVSNA_OFFER_1">Предложение!$G$75</definedName>
    <definedName name="pIns_PT_VTAR_C_HOTVSNA_OFFER_2">Предложение!$G$139</definedName>
    <definedName name="pIns_PT_VTAR_C_HOTVSNA_OFFER_3">Предложение!$G$201</definedName>
    <definedName name="pIns_PT_VTAR_C_HOTVSNA_OFFER_4">Предложение!$G$263</definedName>
    <definedName name="pIns_PT_VTAR_C_HOTVSNA_OFFER_5">Предложение!$G$325</definedName>
    <definedName name="pIns_PT_VTAR_C_OFFER_1">Предложение!$G$32</definedName>
    <definedName name="pIns_PT_VTAR_C_OFFER_2">Предложение!$G$96</definedName>
    <definedName name="pIns_PT_VTAR_C_OFFER_3">Предложение!$G$158</definedName>
    <definedName name="pIns_PT_VTAR_C_OFFER_4">Предложение!$G$220</definedName>
    <definedName name="pIns_PT_VTAR_C_OFFER_5">Предложение!$G$282</definedName>
    <definedName name="pIns_PT_VTAR_C_VOTV">'ВО. Т-подкл'!$T$63</definedName>
    <definedName name="pIns_PT_VTAR_C_VOTV_OFFER_1">Предложение!$G$84</definedName>
    <definedName name="pIns_PT_VTAR_C_VOTV_OFFER_2">Предложение!$G$148</definedName>
    <definedName name="pIns_PT_VTAR_C_VOTV_OFFER_3">Предложение!$G$210</definedName>
    <definedName name="pIns_PT_VTAR_C_VOTV_OFFER_4">Предложение!$G$272</definedName>
    <definedName name="pIns_PT_VTAR_C_VOTV_OFFER_5">Предложение!$G$334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Предложение!$G$123</definedName>
    <definedName name="pIns_PT_VTAR_D_COLDVSNA_OFFER_3">Предложение!$G$185</definedName>
    <definedName name="pIns_PT_VTAR_D_COLDVSNA_OFFER_4">Предложение!$G$247</definedName>
    <definedName name="pIns_PT_VTAR_D_COLDVSNA_OFFER_5">Предложение!$G$309</definedName>
    <definedName name="pIns_PT_VTAR_D_OFFER_1">Предложение!$G$35</definedName>
    <definedName name="pIns_PT_VTAR_D_OFFER_2">Предложение!$G$99</definedName>
    <definedName name="pIns_PT_VTAR_D_OFFER_3">Предложение!$G$161</definedName>
    <definedName name="pIns_PT_VTAR_D_OFFER_4">Предложение!$G$223</definedName>
    <definedName name="pIns_PT_VTAR_D_OFFER_5">Предложение!$G$285</definedName>
    <definedName name="pIns_PT_VTAR_E_COLDVSNA">'ХВС. Т-подкл'!$T$63</definedName>
    <definedName name="pIns_PT_VTAR_E_COLDVSNA_OFFER_1">Предложение!$G$62</definedName>
    <definedName name="pIns_PT_VTAR_E_COLDVSNA_OFFER_2">Предложение!$G$126</definedName>
    <definedName name="pIns_PT_VTAR_E_COLDVSNA_OFFER_3">Предложение!$G$188</definedName>
    <definedName name="pIns_PT_VTAR_E_COLDVSNA_OFFER_4">Предложение!$G$250</definedName>
    <definedName name="pIns_PT_VTAR_E_COLDVSNA_OFFER_5">Предложение!$G$312</definedName>
    <definedName name="pIns_PT_VTAR_E1">'ТС. Т-передача ТЭ'!$T$57</definedName>
    <definedName name="pIns_PT_VTAR_E1_OFFER_1">Предложение!$G$38</definedName>
    <definedName name="pIns_PT_VTAR_E1_OFFER_2">Предложение!$G$102</definedName>
    <definedName name="pIns_PT_VTAR_E1_OFFER_3">Предложение!$G$164</definedName>
    <definedName name="pIns_PT_VTAR_E1_OFFER_4">Предложение!$G$226</definedName>
    <definedName name="pIns_PT_VTAR_E1_OFFER_5">Предложение!$G$288</definedName>
    <definedName name="pIns_PT_VTAR_E2">'ТС. Т-передача ТН'!$T$57</definedName>
    <definedName name="pIns_PT_VTAR_E2_OFFER_1">Предложение!$G$41</definedName>
    <definedName name="pIns_PT_VTAR_E2_OFFER_2">Предложение!$G$105</definedName>
    <definedName name="pIns_PT_VTAR_E2_OFFER_3">Предложение!$G$167</definedName>
    <definedName name="pIns_PT_VTAR_E2_OFFER_4">Предложение!$G$229</definedName>
    <definedName name="pIns_PT_VTAR_E2_OFFER_5">Предложение!$G$291</definedName>
    <definedName name="pIns_PT_VTAR_F">'ТС. Резерв мощности'!$T$57</definedName>
    <definedName name="pIns_PT_VTAR_F_OFFER_1">Предложение!$G$44</definedName>
    <definedName name="pIns_PT_VTAR_F_OFFER_2">Предложение!$G$108</definedName>
    <definedName name="pIns_PT_VTAR_F_OFFER_3">Предложение!$G$170</definedName>
    <definedName name="pIns_PT_VTAR_F_OFFER_4">Предложение!$G$232</definedName>
    <definedName name="pIns_PT_VTAR_F_OFFER_5">Предложение!$G$294</definedName>
    <definedName name="pIns_PT_VTAR_G">'ТС. Т-подкл'!$T$62</definedName>
    <definedName name="pIns_PT_VTAR_G_OFFER_1">Предложение!$G$47</definedName>
    <definedName name="pIns_PT_VTAR_G_OFFER_2">Предложение!$G$111</definedName>
    <definedName name="pIns_PT_VTAR_G_OFFER_3">Предложение!$G$173</definedName>
    <definedName name="pIns_PT_VTAR_G_OFFER_4">Предложение!$G$235</definedName>
    <definedName name="pIns_PT_VTAR_G_OFFER_5">Предложение!$G$297</definedName>
    <definedName name="pIns_PT_VTAR_H">'ТС. Т-подкл(инд)'!$T$59</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Т-подкл(инд)'!$AJ$40</definedName>
    <definedName name="pIns_ver_HEAT_TARIFF_I">'ТС. Т-ТЭ | предел'!$AL$39</definedName>
    <definedName name="pIns_ver_HEAT_TARIFF_I_1">'ТС. Т-ТЭ | индикат'!$AL$39</definedName>
    <definedName name="pIns_ver_HOTVSNA_TARIFF_A_HOTVSNA">'ГВС. Т-гор.вода'!$EX$37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тарифов'!$AL$12:$AL$158</definedName>
    <definedName name="PT_DIFFERENTIATION_CS_ID">'Перечень тарифов'!$AF$12:$AF$158</definedName>
    <definedName name="PT_DIFFERENTIATION_IST_TE">'Перечень тарифов'!$AM$12:$AM$158</definedName>
    <definedName name="PT_DIFFERENTIATION_IST_TE_ID">'Перечень тарифов'!$AG$12:$AG$158</definedName>
    <definedName name="PT_DIFFERENTIATION_NTAR">'Перечень тарифов'!$AJ$12:$AJ$158</definedName>
    <definedName name="PT_DIFFERENTIATION_NTAR_ID">'Перечень тарифов'!$AD$12:$AD$158</definedName>
    <definedName name="PT_DIFFERENTIATION_NUM_CS">'Перечень тарифов'!$AP$12:$AP$158</definedName>
    <definedName name="PT_DIFFERENTIATION_NUM_IST_TE">'Перечень тарифов'!$AQ$12:$AQ$158</definedName>
    <definedName name="PT_DIFFERENTIATION_NUM_NTAR">'Перечень тарифов'!$AN$12:$AN$158</definedName>
    <definedName name="PT_DIFFERENTIATION_NUM_TER">'Перечень тарифов'!$AO$12:$AO$158</definedName>
    <definedName name="PT_DIFFERENTIATION_TER">'Перечень тарифов'!$AK$12:$AK$158</definedName>
    <definedName name="PT_DIFFERENTIATION_TER_ID">'Перечень тарифов'!$AE$12:$AE$158</definedName>
    <definedName name="PT_DIFFERENTIATION_VDET">'Перечень тарифов'!$AI$12:$AI$158</definedName>
    <definedName name="PT_DIFFERENTIATION_VTAR">'Перечень тарифов'!$AH$12:$AH$158</definedName>
    <definedName name="PT_DIFFERENTIATION_VTAR_ID">'Перечень тарифов'!$AC$12:$AC$158</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Т-гор.вода'!$42:$73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ter_1">'Список территорий'!$G$13:$I$13</definedName>
    <definedName name="pt_ntar_26">'ГВС. Т-гор.вода'!$74:$105</definedName>
    <definedName name="pt_ter_30">'ГВС. Т-гор.вода'!$75:$84</definedName>
    <definedName name="pt_cs_30">'ГВС. Т-гор.вода'!$76:$83</definedName>
    <definedName name="pt_ntar_27">'ГВС. Т-гор.вода'!$106:$137</definedName>
    <definedName name="pt_ter_31">'ГВС. Т-гор.вода'!$107:$116</definedName>
    <definedName name="pt_cs_31">'ГВС. Т-гор.вода'!$108:$115</definedName>
    <definedName name="pt_ter_32">'ГВС. Т-гор.вода'!$53:$62</definedName>
    <definedName name="pt_cs_32">'ГВС. Т-гор.вода'!$54:$61</definedName>
    <definedName name="ter_55">'Список территорий'!$G$16:$I$16</definedName>
    <definedName name="ter_56">'Список территорий'!$G$19:$I$19</definedName>
    <definedName name="pt_ter_33">'ГВС. Т-гор.вода'!$63:$72</definedName>
    <definedName name="pt_cs_33">'ГВС. Т-гор.вода'!$64:$71</definedName>
    <definedName name="pt_ter_34">'ГВС. Т-гор.вода'!$85:$94</definedName>
    <definedName name="pt_cs_34">'ГВС. Т-гор.вода'!$86:$93</definedName>
    <definedName name="pt_ter_35">'ГВС. Т-гор.вода'!$95:$104</definedName>
    <definedName name="pt_cs_35">'ГВС. Т-гор.вода'!$96:$103</definedName>
    <definedName name="pt_ter_36">'ГВС. Т-гор.вода'!$117:$126</definedName>
    <definedName name="pt_cs_36">'ГВС. Т-гор.вода'!$118:$125</definedName>
    <definedName name="pt_ter_37">'ГВС. Т-гор.вода'!$127:$136</definedName>
    <definedName name="pt_cs_37">'ГВС. Т-гор.вода'!$128:$135</definedName>
    <definedName name="DESCRIPTION_TERRITORY">REESTR_DS!$B$2:$B$4</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<sst xmlns="http://schemas.openxmlformats.org/spreadsheetml/2006/main" count="11891" uniqueCount="2905">
  <si>
    <t xml:space="preserve"> (требуется обновление)</t>
  </si>
  <si>
    <t>Код отчёта: PP108.OPEN.INFO.PRICE.HOTVSNA.EIAS</t>
  </si>
  <si>
    <t>Версия отчёта: 1.0.7</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</si>
  <si>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</si>
  <si>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</si>
  <si>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</si>
  <si>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</si>
  <si>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</si>
  <si>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</si>
  <si>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</si>
  <si>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</si>
  <si>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</si>
  <si>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</si>
  <si>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</si>
  <si>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Мурманская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</si>
  <si>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</si>
  <si>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</si>
  <si>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</si>
  <si>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</si>
  <si>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</si>
  <si>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</si>
  <si>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</si>
  <si>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</si>
  <si>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</si>
  <si>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</si>
  <si>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</si>
  <si>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</si>
  <si>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</si>
  <si>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</si>
  <si>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</si>
  <si>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</si>
  <si>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</si>
  <si>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</si>
  <si>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</si>
  <si>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</si>
  <si>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</si>
  <si>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</si>
  <si>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44/114</t>
  </si>
  <si>
    <t>Наименование органа регулирования, принявшего решение об утверждении тарифов</t>
  </si>
  <si>
    <t>Комитет по тарифному регулированию Мурманской области</t>
  </si>
  <si>
    <t>Источник официального опубликования решения</t>
  </si>
  <si>
    <t>https://tarif.gov-murman.ru/bitrix/components/b1team/govmurman.element.file/download.php?ID=473833&amp;FID=684201</t>
  </si>
  <si>
    <t>Открывается, если Тип отчёта "изменения в раскрытой ранее информации"</t>
  </si>
  <si>
    <t>51/16</t>
  </si>
  <si>
    <t>Наименование органа регулирования, принявшего решение об изменении тарифов</t>
  </si>
  <si>
    <t>https://npa.gov-murman.ru/bitrix/components/b1team/govmurman.element.file/download.php?ID=508455&amp;FID=750728</t>
  </si>
  <si>
    <t>АО "Мурманэнергосбыт"</t>
  </si>
  <si>
    <t>Наименование (описание) обособленного подразделения</t>
  </si>
  <si>
    <t>ИНН</t>
  </si>
  <si>
    <t>5190907139</t>
  </si>
  <si>
    <t>КПП</t>
  </si>
  <si>
    <t>519001001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</si>
  <si>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</si>
  <si>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</si>
  <si>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</si>
  <si>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</si>
  <si>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</si>
  <si>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</si>
  <si>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</si>
  <si>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</si>
  <si>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</si>
  <si>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</si>
  <si>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</si>
  <si>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</si>
  <si>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</si>
  <si>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</si>
  <si>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</si>
  <si>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</si>
  <si>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</si>
  <si>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</si>
  <si>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183034, г. Мурманск, ул. Свердлова, д. 39, корп.1</t>
  </si>
  <si>
    <t>Фамилия, имя, отчество руководителя</t>
  </si>
  <si>
    <t>Истомина Алла Павловна</t>
  </si>
  <si>
    <t>Ответственный за заполнение формы</t>
  </si>
  <si>
    <t>Фамилия, имя, отчество</t>
  </si>
  <si>
    <t>Луханина Ольга Викторовна</t>
  </si>
  <si>
    <t>Должность</t>
  </si>
  <si>
    <t>ведущий экономист</t>
  </si>
  <si>
    <t>Контактный телефон</t>
  </si>
  <si>
    <t>686449</t>
  </si>
  <si>
    <t>E-mail</t>
  </si>
  <si>
    <t>luhaninaov@mures.ru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</si>
  <si>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</si>
  <si>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</si>
  <si>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</si>
  <si>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</si>
  <si>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</si>
  <si>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</si>
  <si>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</si>
  <si>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</si>
  <si>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</si>
  <si>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</si>
  <si>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</si>
  <si>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</si>
  <si>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</si>
  <si>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</si>
  <si>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</si>
  <si>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</si>
  <si>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16</t>
  </si>
  <si>
    <t>Ковдорский муниципальный округ</t>
  </si>
  <si>
    <t>47517000</t>
  </si>
  <si>
    <t>Добавить МО</t>
  </si>
  <si>
    <t>2</t>
  </si>
  <si>
    <t>×</t>
  </si>
  <si>
    <t>ter_55</t>
  </si>
  <si>
    <t>11</t>
  </si>
  <si>
    <t>Кандалакшский муниципальный район</t>
  </si>
  <si>
    <t>Алакурттинское сельское поселение</t>
  </si>
  <si>
    <t>47608403</t>
  </si>
  <si>
    <t>ter_56</t>
  </si>
  <si>
    <t>14</t>
  </si>
  <si>
    <t>47608000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</si>
  <si>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</si>
  <si>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</si>
  <si>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</si>
  <si>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</si>
  <si>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</si>
  <si>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</si>
  <si>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</si>
  <si>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</si>
  <si>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</si>
  <si>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</si>
  <si>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</si>
  <si>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</si>
  <si>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</si>
  <si>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</si>
  <si>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</si>
  <si>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</si>
  <si>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</si>
  <si>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</si>
  <si>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</si>
  <si>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</si>
  <si>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</si>
  <si>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</si>
  <si>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</si>
  <si>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</si>
  <si>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</si>
  <si>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</si>
  <si>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</si>
  <si>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</si>
  <si>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</si>
  <si>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</si>
  <si>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</si>
  <si>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</si>
  <si>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</si>
  <si>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</si>
  <si>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</si>
  <si>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</si>
  <si>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</si>
  <si>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</si>
  <si>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</si>
  <si>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</si>
  <si>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</si>
  <si>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</si>
  <si>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</si>
  <si>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</si>
  <si>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</si>
  <si>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</si>
  <si>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</si>
  <si>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</si>
  <si>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</si>
  <si>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</si>
  <si>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</si>
  <si>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</si>
  <si>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</si>
  <si>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</si>
  <si>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</si>
  <si>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</si>
  <si>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</si>
  <si>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</si>
  <si>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</si>
  <si>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</si>
  <si>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</si>
  <si>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</si>
  <si>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</si>
  <si>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</si>
  <si>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</si>
  <si>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</si>
  <si>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</si>
  <si>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</si>
  <si>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</si>
  <si>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</si>
  <si>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</si>
  <si>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</si>
  <si>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</si>
  <si>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</si>
  <si>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</si>
  <si>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</si>
  <si>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</si>
  <si>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</si>
  <si>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</si>
  <si>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</si>
  <si>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</si>
  <si>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</si>
  <si>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</si>
  <si>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</si>
  <si>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</si>
  <si>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</si>
  <si>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</si>
  <si>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</si>
  <si>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</si>
  <si>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</si>
  <si>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</si>
  <si>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</si>
  <si>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</si>
  <si>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</si>
  <si>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</si>
  <si>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</si>
  <si>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</si>
  <si>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</si>
  <si>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</si>
  <si>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</si>
  <si>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</si>
  <si>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</si>
  <si>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</si>
  <si>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</si>
  <si>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</si>
  <si>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</si>
  <si>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</si>
  <si>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</si>
  <si>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</si>
  <si>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</si>
  <si>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</si>
  <si>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</si>
  <si>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</si>
  <si>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</si>
  <si>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</si>
  <si>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</si>
  <si>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</si>
  <si>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</si>
  <si>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</si>
  <si>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</si>
  <si>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</si>
  <si>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</si>
  <si>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</si>
  <si>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</si>
  <si>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</si>
  <si>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</si>
  <si>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</si>
  <si>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</si>
  <si>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</si>
  <si>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</si>
  <si>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</si>
  <si>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</si>
  <si>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</si>
  <si>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</si>
  <si>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</si>
  <si>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</si>
  <si>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</si>
  <si>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</si>
  <si>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</si>
  <si>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</si>
  <si>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</si>
  <si>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</si>
  <si>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в закрытой системе горячего водоснабжения, поставляемую потребителям</t>
  </si>
  <si>
    <t>н.п. Енский</t>
  </si>
  <si>
    <t>Тарифы установлены без учета НДС.</t>
  </si>
  <si>
    <t>4189706</t>
  </si>
  <si>
    <t>pIns_PT_VTAR_A_HOTVSNA</t>
  </si>
  <si>
    <t>pt_ntar_14</t>
  </si>
  <si>
    <t>pt_ter_14</t>
  </si>
  <si>
    <t>pt_cs_14</t>
  </si>
  <si>
    <t>Добавить централизованную систему для дифференциации</t>
  </si>
  <si>
    <t>pt_ter_32</t>
  </si>
  <si>
    <t>pt_cs_32</t>
  </si>
  <si>
    <t>pt_ist_te_32</t>
  </si>
  <si>
    <t>н.п. Белое море</t>
  </si>
  <si>
    <t>pt_ter_33</t>
  </si>
  <si>
    <t>pt_cs_33</t>
  </si>
  <si>
    <t>pt_ist_te_33</t>
  </si>
  <si>
    <t>Добавить территорию для дифференциации</t>
  </si>
  <si>
    <t>Тариф на горячую воду в закрытой системе горячего водоснабжения, поставляемую группе потребителей "население"</t>
  </si>
  <si>
    <t>Тарифы указываются с учетом НДС в целях реализации пункта 6 статьи 168 Налогового кодекса Российской Федерации (часть вторая).</t>
  </si>
  <si>
    <t>pt_ntar_26</t>
  </si>
  <si>
    <t>pt_ter_30</t>
  </si>
  <si>
    <t>pt_cs_30</t>
  </si>
  <si>
    <t>pt_ist_te_30</t>
  </si>
  <si>
    <t>pt_ter_34</t>
  </si>
  <si>
    <t>pt_cs_34</t>
  </si>
  <si>
    <t>pt_ist_te_34</t>
  </si>
  <si>
    <t>pt_ter_35</t>
  </si>
  <si>
    <t>pt_cs_35</t>
  </si>
  <si>
    <t>pt_ist_te_35</t>
  </si>
  <si>
    <t>Тариф на горячую воду в закрытой системе горячего водоснабжения, поставляемую группе потребителей "потребители (кроме населения)"</t>
  </si>
  <si>
    <t>pt_ntar_27</t>
  </si>
  <si>
    <t>pt_ter_31</t>
  </si>
  <si>
    <t>pt_cs_31</t>
  </si>
  <si>
    <t>pt_ist_te_31</t>
  </si>
  <si>
    <t>pt_ter_36</t>
  </si>
  <si>
    <t>pt_cs_36</t>
  </si>
  <si>
    <t>pt_ist_te_36</t>
  </si>
  <si>
    <t>pt_ter_37</t>
  </si>
  <si>
    <t>pt_cs_37</t>
  </si>
  <si>
    <t>pt_ist_te_37</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</si>
  <si>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</si>
  <si>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</si>
  <si>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</si>
  <si>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</si>
  <si>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</si>
  <si>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</si>
  <si>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</si>
  <si>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</si>
  <si>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</si>
  <si>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</si>
  <si>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</si>
  <si>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</si>
  <si>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</si>
  <si>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</si>
  <si>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</si>
  <si>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</si>
  <si>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</si>
  <si>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</si>
  <si>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</si>
  <si>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</si>
  <si>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</si>
  <si>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</si>
  <si>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</si>
  <si>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</si>
  <si>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</si>
  <si>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</si>
  <si>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</si>
  <si>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</si>
  <si>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</si>
  <si>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</si>
  <si>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</si>
  <si>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</si>
  <si>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</si>
  <si>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</si>
  <si>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</si>
  <si>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</si>
  <si>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</si>
  <si>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</si>
  <si>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</si>
  <si>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</si>
  <si>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</si>
  <si>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</si>
  <si>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</si>
  <si>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</si>
  <si>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</si>
  <si>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</si>
  <si>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</si>
  <si>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</si>
  <si>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</si>
  <si>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</si>
  <si>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</si>
  <si>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</si>
  <si>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</si>
  <si>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</si>
  <si>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</si>
  <si>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</si>
  <si>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</si>
  <si>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</si>
  <si>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</si>
  <si>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</si>
  <si>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</si>
  <si>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</si>
  <si>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</si>
  <si>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</si>
  <si>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</si>
  <si>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</si>
  <si>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</si>
  <si>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</si>
  <si>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</si>
  <si>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</si>
  <si>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</si>
  <si>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</si>
  <si>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</si>
  <si>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</si>
  <si>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</si>
  <si>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</si>
  <si>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</si>
  <si>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</si>
  <si>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</si>
  <si>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</si>
  <si>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</si>
  <si>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</si>
  <si>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</si>
  <si>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</si>
  <si>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</si>
  <si>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</si>
  <si>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</si>
  <si>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</si>
  <si>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</si>
  <si>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</si>
  <si>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</si>
  <si>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</si>
  <si>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</si>
  <si>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</si>
  <si>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</si>
  <si>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</si>
  <si>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</si>
  <si>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</si>
  <si>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</si>
  <si>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</si>
  <si>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</si>
  <si>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</si>
  <si>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</si>
  <si>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</si>
  <si>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</si>
  <si>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</si>
  <si>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</si>
  <si>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</si>
  <si>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</si>
  <si>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</si>
  <si>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</si>
  <si>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</si>
  <si>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</si>
  <si>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</si>
  <si>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</si>
  <si>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</si>
  <si>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</si>
  <si>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</si>
  <si>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</si>
  <si>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</si>
  <si>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</si>
  <si>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</si>
  <si>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</si>
  <si>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</si>
  <si>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</si>
  <si>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</si>
  <si>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</si>
  <si>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</si>
  <si>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</si>
  <si>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</si>
  <si>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</si>
  <si>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</si>
  <si>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</si>
  <si>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</si>
  <si>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</si>
  <si>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</si>
  <si>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</si>
  <si>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</si>
  <si>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</si>
  <si>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</si>
  <si>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</si>
  <si>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</si>
  <si>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</si>
  <si>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</si>
  <si>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</si>
  <si>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</si>
  <si>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</si>
  <si>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</si>
  <si>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</si>
  <si>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</si>
  <si>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</si>
  <si>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</si>
  <si>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</si>
  <si>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</si>
  <si>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</si>
  <si>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</si>
  <si>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</si>
  <si>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</si>
  <si>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</si>
  <si>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</si>
  <si>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</si>
  <si>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</si>
  <si>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</si>
  <si>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</si>
  <si>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</si>
  <si>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</si>
  <si>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</si>
  <si>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</si>
  <si>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</si>
  <si>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</si>
  <si>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</si>
  <si>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</si>
  <si>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</si>
  <si>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</si>
  <si>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</si>
  <si>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</si>
  <si>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</si>
  <si>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</si>
  <si>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</si>
  <si>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</si>
  <si>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</si>
  <si>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</si>
  <si>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</si>
  <si>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</si>
  <si>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</si>
  <si>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</si>
  <si>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</si>
  <si>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</si>
  <si>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</si>
  <si>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</si>
  <si>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</si>
  <si>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</si>
  <si>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</si>
  <si>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</si>
  <si>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</si>
  <si>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</si>
  <si>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</si>
  <si>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</si>
  <si>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</si>
  <si>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</si>
  <si>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</si>
  <si>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</si>
  <si>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</si>
  <si>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</si>
  <si>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</si>
  <si>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</si>
  <si>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</si>
  <si>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</si>
  <si>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</si>
  <si>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</si>
  <si>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</si>
  <si>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</si>
  <si>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</si>
  <si>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</si>
  <si>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</si>
  <si>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</si>
  <si>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</si>
  <si>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</si>
  <si>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</si>
  <si>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</si>
  <si>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</si>
  <si>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</si>
  <si>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</si>
  <si>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</si>
  <si>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</si>
  <si>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</si>
  <si>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</si>
  <si>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</si>
  <si>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</si>
  <si>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</si>
  <si>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</si>
  <si>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</si>
  <si>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</si>
  <si>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</si>
  <si>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</si>
  <si>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</si>
  <si>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</si>
  <si>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</si>
  <si>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</si>
  <si>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</si>
  <si>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</si>
  <si>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</si>
  <si>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</si>
  <si>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</si>
  <si>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</si>
  <si>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</si>
  <si>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</si>
  <si>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</si>
  <si>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</si>
  <si>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</si>
  <si>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</si>
  <si>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</si>
  <si>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</si>
  <si>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</si>
  <si>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</si>
  <si>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</si>
  <si>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</si>
  <si>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</si>
  <si>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</si>
  <si>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</si>
  <si>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</si>
  <si>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</si>
  <si>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</si>
  <si>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</si>
  <si>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</si>
  <si>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</si>
  <si>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</si>
  <si>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</si>
  <si>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</si>
  <si>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</si>
  <si>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</si>
  <si>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</si>
  <si>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</si>
  <si>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</si>
  <si>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</si>
  <si>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</si>
  <si>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</si>
  <si>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</si>
  <si>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</si>
  <si>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</si>
  <si>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</si>
  <si>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</si>
  <si>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</si>
  <si>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</si>
  <si>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</si>
  <si>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</si>
  <si>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</si>
  <si>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</si>
  <si>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прочие</t>
  </si>
  <si>
    <t>население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</si>
  <si>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</si>
  <si>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</si>
  <si>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</si>
  <si>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</si>
  <si>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</si>
  <si>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</si>
  <si>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</si>
  <si>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</si>
  <si>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</si>
  <si>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</si>
  <si>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</si>
  <si>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</si>
  <si>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</si>
  <si>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</si>
  <si>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</si>
  <si>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</si>
  <si>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</si>
  <si>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</si>
  <si>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</si>
  <si>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</si>
  <si>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</si>
  <si>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</si>
  <si>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</si>
  <si>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</si>
  <si>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</si>
  <si>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</si>
  <si>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</si>
  <si>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</si>
  <si>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</si>
  <si>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</si>
  <si>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</si>
  <si>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</si>
  <si>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</si>
  <si>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</si>
  <si>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</si>
  <si>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</si>
  <si>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</si>
  <si>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</si>
  <si>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</si>
  <si>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</si>
  <si>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</si>
  <si>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</si>
  <si>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</si>
  <si>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</si>
  <si>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</si>
  <si>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</si>
  <si>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</si>
  <si>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</si>
  <si>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</si>
  <si>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</si>
  <si>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</si>
  <si>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</si>
  <si>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</si>
  <si>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</si>
  <si>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</si>
  <si>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</si>
  <si>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</si>
  <si>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</si>
  <si>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</si>
  <si>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</si>
  <si>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</si>
  <si>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</si>
  <si>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</si>
  <si>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</si>
  <si>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</si>
  <si>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</si>
  <si>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</si>
  <si>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</si>
  <si>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</si>
  <si>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</si>
  <si>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</si>
  <si>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</si>
  <si>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</si>
  <si>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</si>
  <si>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</si>
  <si>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</si>
  <si>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</si>
  <si>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</si>
  <si>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</si>
  <si>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</si>
  <si>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</si>
  <si>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</si>
  <si>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</si>
  <si>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</si>
  <si>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</si>
  <si>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</si>
  <si>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</si>
  <si>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</si>
  <si>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</si>
  <si>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</si>
  <si>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</si>
  <si>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</si>
  <si>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</si>
  <si>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</si>
  <si>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</si>
  <si>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</si>
  <si>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</si>
  <si>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</si>
  <si>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</si>
  <si>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</si>
  <si>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</si>
  <si>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</si>
  <si>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</si>
  <si>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</si>
  <si>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</si>
  <si>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</si>
  <si>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</si>
  <si>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</si>
  <si>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</si>
  <si>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</si>
  <si>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</si>
  <si>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</si>
  <si>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</si>
  <si>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</si>
  <si>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</si>
  <si>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</si>
  <si>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</si>
  <si>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</si>
  <si>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</si>
  <si>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</si>
  <si>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</si>
  <si>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</si>
  <si>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</si>
  <si>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</si>
  <si>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</si>
  <si>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</si>
  <si>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</si>
  <si>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</si>
  <si>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</si>
  <si>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</si>
  <si>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</si>
  <si>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</si>
  <si>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</si>
  <si>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</si>
  <si>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</si>
  <si>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</si>
  <si>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</si>
  <si>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</si>
  <si>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</si>
  <si>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</si>
  <si>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</si>
  <si>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</si>
  <si>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</si>
  <si>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</si>
  <si>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</si>
  <si>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</si>
  <si>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</si>
  <si>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</si>
  <si>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</si>
  <si>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</si>
  <si>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</si>
  <si>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</si>
  <si>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</si>
  <si>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</si>
  <si>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</si>
  <si>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</si>
  <si>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</si>
  <si>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</si>
  <si>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</si>
  <si>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</si>
  <si>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</si>
  <si>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</si>
  <si>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</si>
  <si>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</si>
  <si>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</si>
  <si>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</si>
  <si>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</si>
  <si>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</si>
  <si>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</si>
  <si>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</si>
  <si>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</si>
  <si>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</si>
  <si>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</si>
  <si>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</si>
  <si>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</si>
  <si>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</si>
  <si>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</si>
  <si>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</si>
  <si>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</si>
  <si>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</si>
  <si>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</si>
  <si>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</si>
  <si>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</si>
  <si>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</si>
  <si>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</si>
  <si>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</si>
  <si>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</si>
  <si>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</si>
  <si>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</si>
  <si>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</si>
  <si>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</si>
  <si>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</si>
  <si>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</si>
  <si>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</si>
  <si>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</si>
  <si>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</si>
  <si>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</si>
  <si>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</si>
  <si>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</si>
  <si>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</si>
  <si>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</si>
  <si>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</si>
  <si>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</si>
  <si>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</si>
  <si>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</si>
  <si>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</si>
  <si>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</si>
  <si>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</si>
  <si>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</si>
  <si>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</si>
  <si>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</si>
  <si>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</si>
  <si>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</si>
  <si>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</si>
  <si>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</si>
  <si>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</si>
  <si>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</si>
  <si>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</si>
  <si>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</si>
  <si>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</si>
  <si>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</si>
  <si>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</si>
  <si>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</si>
  <si>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</si>
  <si>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</si>
  <si>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</si>
  <si>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</si>
  <si>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</si>
  <si>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</si>
  <si>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</si>
  <si>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</si>
  <si>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</si>
  <si>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</si>
  <si>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</si>
  <si>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</si>
  <si>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</si>
  <si>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</si>
  <si>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</si>
  <si>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</si>
  <si>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</si>
  <si>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</si>
  <si>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</si>
  <si>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</si>
  <si>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</si>
  <si>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</si>
  <si>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</si>
  <si>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</si>
  <si>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</si>
  <si>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</si>
  <si>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</si>
  <si>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</si>
  <si>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</si>
  <si>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</si>
  <si>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</si>
  <si>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</si>
  <si>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</si>
  <si>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</si>
  <si>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</si>
  <si>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</si>
  <si>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</si>
  <si>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</si>
  <si>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</si>
  <si>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</si>
  <si>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</si>
  <si>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</si>
  <si>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</si>
  <si>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</si>
  <si>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</si>
  <si>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</si>
  <si>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</si>
  <si>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</si>
  <si>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</si>
  <si>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</si>
  <si>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</si>
  <si>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</si>
  <si>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</si>
  <si>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</si>
  <si>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</si>
  <si>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</si>
  <si>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</si>
  <si>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</si>
  <si>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</si>
  <si>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</si>
  <si>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</si>
  <si>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</si>
  <si>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</si>
  <si>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</si>
  <si>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</si>
  <si>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</si>
  <si>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</si>
  <si>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</si>
  <si>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</si>
  <si>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</si>
  <si>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</si>
  <si>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</si>
  <si>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</si>
  <si>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</si>
  <si>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</si>
  <si>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</si>
  <si>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</si>
  <si>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</si>
  <si>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</si>
  <si>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</si>
  <si>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</si>
  <si>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</si>
  <si>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</si>
  <si>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</si>
  <si>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</si>
  <si>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</si>
  <si>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</si>
  <si>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</si>
  <si>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</si>
  <si>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</si>
  <si>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</si>
  <si>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</si>
  <si>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</si>
  <si>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</si>
  <si>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</si>
  <si>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</si>
  <si>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</si>
  <si>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</si>
  <si>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</si>
  <si>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</si>
  <si>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</si>
  <si>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</si>
  <si>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</si>
  <si>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</si>
  <si>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</si>
  <si>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</si>
  <si>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</si>
  <si>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</si>
  <si>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</si>
  <si>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</si>
  <si>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</si>
  <si>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</si>
  <si>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</si>
  <si>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</si>
  <si>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</si>
  <si>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</si>
  <si>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</si>
  <si>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</si>
  <si>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</si>
  <si>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</si>
  <si>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</si>
  <si>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</si>
  <si>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</si>
  <si>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</si>
  <si>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</si>
  <si>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</si>
  <si>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</si>
  <si>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</si>
  <si>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</si>
  <si>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</si>
  <si>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</si>
  <si>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</si>
  <si>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</si>
  <si>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</si>
  <si>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</si>
  <si>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</si>
  <si>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</si>
  <si>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</si>
  <si>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</si>
  <si>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</si>
  <si>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</si>
  <si>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</si>
  <si>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</si>
  <si>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</si>
  <si>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</si>
  <si>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</si>
  <si>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</si>
  <si>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</si>
  <si>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</si>
  <si>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</si>
  <si>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</si>
  <si>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</si>
  <si>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</si>
  <si>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</si>
  <si>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</si>
  <si>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</si>
  <si>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</si>
  <si>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</si>
  <si>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</si>
  <si>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</si>
  <si>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</si>
  <si>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</si>
  <si>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</si>
  <si>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</si>
  <si>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</si>
  <si>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</si>
  <si>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</si>
  <si>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</si>
  <si>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</si>
  <si>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</si>
  <si>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</si>
  <si>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</si>
  <si>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</si>
  <si>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</si>
  <si>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</si>
  <si>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</si>
  <si>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</si>
  <si>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</si>
  <si>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</si>
  <si>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</si>
  <si>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</si>
  <si>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</si>
  <si>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</si>
  <si>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</si>
  <si>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</si>
  <si>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</si>
  <si>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</si>
  <si>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</si>
  <si>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</si>
  <si>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</si>
  <si>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</si>
  <si>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</si>
  <si>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</si>
  <si>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</si>
  <si>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</si>
  <si>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</si>
  <si>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</si>
  <si>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</si>
  <si>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</si>
  <si>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</si>
  <si>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</si>
  <si>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</si>
  <si>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</si>
  <si>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</si>
  <si>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</si>
  <si>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</si>
  <si>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</si>
  <si>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</si>
  <si>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</si>
  <si>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</si>
  <si>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</si>
  <si>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</si>
  <si>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</si>
  <si>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</si>
  <si>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</si>
  <si>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</si>
  <si>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</si>
  <si>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</si>
  <si>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</si>
  <si>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</si>
  <si>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</si>
  <si>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</si>
  <si>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</si>
  <si>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</si>
  <si>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</si>
  <si>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</si>
  <si>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</si>
  <si>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</si>
  <si>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</si>
  <si>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</si>
  <si>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</si>
  <si>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</si>
  <si>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</si>
  <si>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</si>
  <si>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</si>
  <si>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</si>
  <si>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</si>
  <si>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</si>
  <si>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</si>
  <si>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</si>
  <si>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</si>
  <si>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</si>
  <si>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</si>
  <si>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</si>
  <si>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</si>
  <si>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</si>
  <si>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</si>
  <si>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</si>
  <si>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</si>
  <si>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</si>
  <si>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</si>
  <si>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</si>
  <si>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</si>
  <si>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</si>
  <si>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</si>
  <si>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</si>
  <si>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</si>
  <si>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</si>
  <si>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</si>
  <si>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</si>
  <si>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</si>
  <si>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</si>
  <si>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</si>
  <si>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</si>
  <si>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</si>
  <si>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</si>
  <si>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</si>
  <si>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</si>
  <si>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</si>
  <si>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</si>
  <si>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</si>
  <si>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</si>
  <si>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</si>
  <si>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</si>
  <si>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</si>
  <si>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</si>
  <si>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</si>
  <si>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</si>
  <si>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</si>
  <si>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</si>
  <si>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</si>
  <si>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</si>
  <si>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</si>
  <si>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</si>
  <si>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</si>
  <si>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</si>
  <si>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</si>
  <si>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www.mures.ru</t>
  </si>
  <si>
    <t>https://portal.eias.ru/Portal/DownloadPage.aspx?type=12&amp;guid=15ecc088-9682-4ec9-99ec-eebe1a8e0f50</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</si>
  <si>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</si>
  <si>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https://portal.eias.ru/Portal/DownloadPage.aspx?type=12&amp;guid=302d4ece-e790-4d32-a7d8-ffc65b77ff6b</t>
  </si>
  <si>
    <t>копии правоустанавливающих документов, подтверждающих право собственности или иное законное право заявителя на подключаемый объект или земельный участок, права на которые не зарегистрированы в Едином государственном реестре недвижимости (в случае если такие права зарегистрированы в указанном реестре, представляются соответствующие выписки из Единого государственного реестра недвижимости)</t>
  </si>
  <si>
    <t>https://portal.eias.ru/Portal/DownloadPage.aspx?type=12&amp;guid=4b05fa97-8be3-4d16-bf27-a10e82cda4bf</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</si>
  <si>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</si>
  <si>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t>
  </si>
  <si>
    <t xml:space="preserve">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t>
  </si>
  <si>
    <t>документы, подтверждающие полномочия лица, действующего от имени заявителя (в случае если заявка подается представителем заявителя)</t>
  </si>
  <si>
    <t>для юридических лиц - копии учредительных документов</t>
  </si>
  <si>
    <t xml:space="preserve">Постановление Правительства РФ от 05.07.2018 N 787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</si>
  <si>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</si>
  <si>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30.11.2021 N 2115</t>
  </si>
  <si>
    <t>5.1.1</t>
  </si>
  <si>
    <t>(8152) 69-15-23, 69-15-37</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</si>
  <si>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</si>
  <si>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</si>
  <si>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Канцелярия (прием заявок): 183034, г. Мурманск, ул. Свердлова, д.39 корпус 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</si>
  <si>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</si>
  <si>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08:30 до 17:30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</si>
  <si>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</si>
  <si>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</si>
  <si>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</si>
  <si>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</si>
  <si>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</si>
  <si>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</si>
  <si>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</si>
  <si>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</si>
  <si>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</si>
  <si>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</si>
  <si>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</si>
  <si>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</si>
  <si>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</si>
  <si>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</si>
  <si>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</si>
  <si>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</si>
  <si>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</si>
  <si>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</si>
  <si>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</si>
  <si>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</si>
  <si>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</si>
  <si>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</si>
  <si>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</si>
  <si>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</si>
  <si>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</si>
  <si>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</si>
  <si>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</si>
  <si>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</si>
  <si>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</si>
  <si>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</si>
  <si>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</si>
  <si>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</si>
  <si>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</si>
  <si>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</si>
  <si>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</si>
  <si>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</si>
  <si>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</si>
  <si>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</si>
  <si>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</si>
  <si>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</si>
  <si>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</si>
  <si>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</si>
  <si>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</si>
  <si>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</si>
  <si>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</si>
  <si>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</si>
  <si>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</si>
  <si>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</si>
  <si>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</si>
  <si>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</si>
  <si>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</si>
  <si>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</si>
  <si>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</si>
  <si>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</si>
  <si>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</si>
  <si>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</si>
  <si>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</si>
  <si>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</si>
  <si>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</si>
  <si>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</si>
  <si>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</si>
  <si>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</si>
  <si>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</si>
  <si>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</si>
  <si>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</si>
  <si>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</si>
  <si>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</si>
  <si>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</si>
  <si>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</si>
  <si>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</si>
  <si>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</si>
  <si>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</si>
  <si>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</si>
  <si>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</si>
  <si>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</si>
  <si>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</si>
  <si>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</si>
  <si>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</si>
  <si>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</si>
  <si>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</si>
  <si>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</si>
  <si>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</si>
  <si>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</si>
  <si>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</si>
  <si>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</si>
  <si>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</si>
  <si>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</si>
  <si>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</si>
  <si>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</si>
  <si>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</si>
  <si>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</si>
  <si>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</si>
  <si>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</si>
  <si>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</si>
  <si>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</si>
  <si>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</si>
  <si>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</si>
  <si>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</si>
  <si>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</si>
  <si>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</si>
  <si>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</si>
  <si>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</si>
  <si>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</si>
  <si>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</si>
  <si>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</si>
  <si>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</si>
  <si>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</si>
  <si>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</si>
  <si>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</si>
  <si>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</si>
  <si>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</si>
  <si>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</si>
  <si>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</si>
  <si>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</si>
  <si>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</si>
  <si>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</si>
  <si>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</si>
  <si>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</si>
  <si>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</si>
  <si>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</si>
  <si>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</si>
  <si>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</si>
  <si>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</si>
  <si>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</si>
  <si>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</si>
  <si>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</si>
  <si>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</si>
  <si>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</si>
  <si>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</si>
  <si>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</si>
  <si>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</si>
  <si>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</si>
  <si>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</si>
  <si>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</si>
  <si>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</si>
  <si>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</si>
  <si>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</si>
  <si>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</si>
  <si>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</si>
  <si>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</si>
  <si>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</si>
  <si>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</si>
  <si>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</si>
  <si>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</si>
  <si>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</si>
  <si>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</si>
  <si>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</si>
  <si>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</si>
  <si>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</si>
  <si>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</si>
  <si>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</si>
  <si>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</si>
  <si>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</si>
  <si>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</si>
  <si>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</si>
  <si>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</si>
  <si>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</si>
  <si>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</si>
  <si>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</si>
  <si>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</si>
  <si>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</si>
  <si>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</si>
  <si>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</si>
  <si>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</si>
  <si>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</si>
  <si>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</si>
  <si>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</si>
  <si>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</si>
  <si>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</si>
  <si>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</si>
  <si>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</si>
  <si>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</si>
  <si>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</si>
  <si>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</si>
  <si>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</si>
  <si>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</si>
  <si>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</si>
  <si>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</si>
  <si>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</si>
  <si>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</si>
  <si>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</si>
  <si>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</si>
  <si>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</si>
  <si>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</si>
  <si>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</si>
  <si>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</si>
  <si>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</si>
  <si>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</si>
  <si>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</si>
  <si>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</si>
  <si>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</si>
  <si>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</si>
  <si>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</si>
  <si>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</si>
  <si>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</si>
  <si>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</si>
  <si>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</si>
  <si>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</si>
  <si>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</si>
  <si>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</si>
  <si>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</si>
  <si>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</si>
  <si>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</si>
  <si>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</si>
  <si>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</si>
  <si>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</si>
  <si>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</si>
  <si>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</si>
  <si>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</si>
  <si>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</si>
  <si>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</si>
  <si>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</si>
  <si>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</si>
  <si>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</si>
  <si>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</si>
  <si>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</si>
  <si>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</si>
  <si>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</si>
  <si>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</si>
  <si>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</si>
  <si>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</si>
  <si>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</si>
  <si>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</si>
  <si>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</si>
  <si>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</si>
  <si>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</si>
  <si>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</si>
  <si>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</si>
  <si>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</si>
  <si>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</si>
  <si>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</si>
  <si>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</si>
  <si>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</si>
  <si>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</si>
  <si>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</si>
  <si>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</si>
  <si>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</si>
  <si>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</si>
  <si>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</si>
  <si>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</si>
  <si>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</si>
  <si>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</si>
  <si>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</si>
  <si>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</si>
  <si>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</si>
  <si>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</si>
  <si>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</si>
  <si>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</si>
  <si>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</si>
  <si>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</si>
  <si>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</si>
  <si>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</si>
  <si>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</si>
  <si>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</si>
  <si>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</si>
  <si>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</si>
  <si>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</si>
  <si>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</si>
  <si>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</si>
  <si>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</si>
  <si>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</si>
  <si>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</si>
  <si>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</si>
  <si>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</si>
  <si>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</si>
  <si>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</si>
  <si>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</si>
  <si>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</si>
  <si>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</si>
  <si>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</si>
  <si>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</si>
  <si>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</si>
  <si>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</si>
  <si>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</si>
  <si>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</si>
  <si>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</si>
  <si>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</si>
  <si>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</si>
  <si>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</si>
  <si>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</si>
  <si>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</si>
  <si>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</si>
  <si>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</si>
  <si>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</si>
  <si>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</si>
  <si>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</si>
  <si>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</si>
  <si>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</si>
  <si>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</si>
  <si>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</si>
  <si>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</si>
  <si>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</si>
  <si>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</si>
  <si>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</si>
  <si>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</si>
  <si>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</si>
  <si>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</si>
  <si>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</si>
  <si>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</si>
  <si>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</si>
  <si>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</si>
  <si>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</si>
  <si>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</si>
  <si>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</si>
  <si>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</si>
  <si>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</si>
  <si>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</si>
  <si>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</si>
  <si>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</si>
  <si>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</si>
  <si>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</si>
  <si>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</si>
  <si>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</si>
  <si>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</si>
  <si>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</si>
  <si>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</si>
  <si>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</si>
  <si>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</si>
  <si>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</si>
  <si>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</si>
  <si>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</si>
  <si>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</si>
  <si>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</si>
  <si>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</si>
  <si>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</si>
  <si>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</si>
  <si>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</si>
  <si>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</si>
  <si>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</si>
  <si>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</si>
  <si>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</si>
  <si>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</si>
  <si>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</si>
  <si>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</si>
  <si>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</si>
  <si>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</si>
  <si>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</si>
  <si>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</si>
  <si>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</si>
  <si>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</si>
  <si>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</si>
  <si>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</si>
  <si>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</si>
  <si>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</si>
  <si>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</si>
  <si>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</si>
  <si>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</si>
  <si>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</si>
  <si>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</si>
  <si>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</si>
  <si>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</si>
  <si>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</si>
  <si>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</si>
  <si>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</si>
  <si>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</si>
  <si>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</si>
  <si>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</si>
  <si>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</si>
  <si>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</si>
  <si>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</si>
  <si>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</si>
  <si>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</si>
  <si>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</si>
  <si>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</si>
  <si>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</si>
  <si>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</si>
  <si>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</si>
  <si>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</si>
  <si>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</si>
  <si>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</si>
  <si>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</si>
  <si>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</si>
  <si>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</si>
  <si>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</si>
  <si>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</si>
  <si>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</si>
  <si>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</si>
  <si>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</si>
  <si>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</si>
  <si>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</si>
  <si>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</si>
  <si>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</si>
  <si>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</si>
  <si>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</si>
  <si>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</si>
  <si>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</si>
  <si>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</si>
  <si>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</si>
  <si>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</si>
  <si>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</si>
  <si>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</si>
  <si>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</si>
  <si>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</si>
  <si>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</si>
  <si>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</si>
  <si>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</si>
  <si>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</si>
  <si>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</si>
  <si>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</si>
  <si>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</si>
  <si>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</si>
  <si>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</si>
  <si>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</si>
  <si>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</si>
  <si>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</si>
  <si>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</si>
  <si>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</si>
  <si>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</si>
  <si>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</si>
  <si>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</si>
  <si>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</si>
  <si>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</si>
  <si>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</si>
  <si>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</si>
  <si>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</si>
  <si>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</si>
  <si>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</si>
  <si>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</si>
  <si>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</si>
  <si>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</si>
  <si>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</si>
  <si>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</si>
  <si>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</si>
  <si>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</si>
  <si>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</si>
  <si>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</si>
  <si>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</si>
  <si>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</si>
  <si>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</si>
  <si>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</si>
  <si>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</si>
  <si>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</si>
  <si>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</si>
  <si>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</si>
  <si>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</si>
  <si>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</si>
  <si>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</si>
  <si>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</si>
  <si>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</si>
  <si>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</si>
  <si>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</si>
  <si>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</si>
  <si>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</si>
  <si>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</si>
  <si>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</si>
  <si>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</si>
  <si>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</si>
  <si>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</si>
  <si>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</si>
  <si>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</si>
  <si>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</si>
  <si>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</si>
  <si>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</si>
  <si>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</si>
  <si>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</si>
  <si>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</si>
  <si>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</si>
  <si>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</si>
  <si>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</si>
  <si>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</si>
  <si>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</si>
  <si>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</si>
  <si>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</si>
  <si>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</si>
  <si>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</si>
  <si>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</si>
  <si>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</si>
  <si>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</si>
  <si>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</si>
  <si>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</si>
  <si>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</si>
  <si>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</si>
  <si>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</si>
  <si>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</si>
  <si>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</si>
  <si>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</si>
  <si>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</si>
  <si>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</si>
  <si>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</si>
  <si>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</si>
  <si>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</si>
  <si>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</si>
  <si>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</si>
  <si>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</si>
  <si>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</si>
  <si>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</si>
  <si>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</si>
  <si>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</si>
  <si>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</si>
  <si>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</si>
  <si>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</si>
  <si>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</si>
  <si>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</si>
  <si>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</si>
  <si>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</si>
  <si>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</si>
  <si>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</si>
  <si>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</si>
  <si>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</si>
  <si>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</si>
  <si>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</si>
  <si>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</si>
  <si>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</si>
  <si>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</si>
  <si>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</si>
  <si>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</si>
  <si>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</si>
  <si>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</si>
  <si>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</si>
  <si>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</si>
  <si>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</si>
  <si>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</si>
  <si>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</si>
  <si>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</si>
  <si>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</si>
  <si>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</si>
  <si>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</si>
  <si>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</si>
  <si>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</si>
  <si>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</si>
  <si>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</si>
  <si>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</si>
  <si>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</si>
  <si>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</si>
  <si>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</si>
  <si>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</si>
  <si>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</si>
  <si>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</si>
  <si>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</si>
  <si>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</si>
  <si>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</si>
  <si>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</si>
  <si>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</si>
  <si>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</si>
  <si>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</si>
  <si>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</si>
  <si>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</si>
  <si>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</si>
  <si>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</si>
  <si>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</si>
  <si>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</si>
  <si>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</si>
  <si>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</si>
  <si>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</si>
  <si>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</si>
  <si>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</si>
  <si>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</si>
  <si>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</si>
  <si>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</si>
  <si>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</si>
  <si>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</si>
  <si>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</si>
  <si>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</si>
  <si>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</si>
  <si>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</si>
  <si>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</si>
  <si>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</si>
  <si>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</si>
  <si>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</si>
  <si>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</si>
  <si>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</si>
  <si>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</si>
  <si>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</si>
  <si>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</si>
  <si>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</si>
  <si>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</si>
  <si>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</si>
  <si>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</si>
  <si>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</si>
  <si>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</si>
  <si>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</si>
  <si>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</si>
  <si>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</si>
  <si>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</si>
  <si>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</si>
  <si>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</si>
  <si>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</si>
  <si>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</si>
  <si>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</si>
  <si>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</si>
  <si>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</si>
  <si>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</si>
  <si>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</si>
  <si>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</si>
  <si>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</si>
  <si>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</si>
  <si>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</si>
  <si>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</si>
  <si>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</si>
  <si>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</si>
  <si>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</si>
  <si>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</si>
  <si>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</si>
  <si>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</si>
  <si>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</si>
  <si>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</si>
  <si>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</si>
  <si>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</si>
  <si>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</si>
  <si>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</si>
  <si>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</si>
  <si>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</si>
  <si>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</si>
  <si>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</si>
  <si>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</si>
  <si>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</si>
  <si>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</si>
  <si>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</si>
  <si>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</si>
  <si>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</si>
  <si>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</si>
  <si>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</si>
  <si>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</si>
  <si>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</si>
  <si>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</si>
  <si>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</si>
  <si>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</si>
  <si>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</si>
  <si>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</si>
  <si>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</si>
  <si>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</si>
  <si>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</si>
  <si>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</si>
  <si>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</si>
  <si>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</si>
  <si>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</si>
  <si>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</si>
  <si>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</si>
  <si>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</si>
  <si>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</si>
  <si>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</si>
  <si>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</si>
  <si>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</si>
  <si>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</si>
  <si>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</si>
  <si>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</si>
  <si>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</si>
  <si>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</si>
  <si>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</si>
  <si>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</si>
  <si>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</si>
  <si>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</si>
  <si>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</si>
  <si>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</si>
  <si>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</si>
  <si>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</si>
  <si>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</si>
  <si>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</si>
  <si>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</si>
  <si>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</si>
  <si>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</si>
  <si>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</si>
  <si>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</si>
  <si>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</si>
  <si>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</si>
  <si>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</si>
  <si>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</si>
  <si>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</si>
  <si>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</si>
  <si>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</si>
  <si>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</si>
  <si>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</si>
  <si>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</si>
  <si>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</si>
  <si>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</si>
  <si>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</si>
  <si>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</si>
  <si>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</si>
  <si>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</si>
  <si>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</si>
  <si>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</si>
  <si>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</si>
  <si>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</si>
  <si>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</si>
  <si>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</si>
  <si>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</si>
  <si>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</si>
  <si>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</si>
  <si>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</si>
  <si>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</si>
  <si>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</si>
  <si>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</si>
  <si>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</si>
  <si>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</si>
  <si>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</si>
  <si>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</si>
  <si>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</si>
  <si>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</si>
  <si>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</si>
  <si>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</si>
  <si>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</si>
  <si>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</si>
  <si>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</si>
  <si>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</si>
  <si>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</si>
  <si>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</si>
  <si>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</si>
  <si>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</si>
  <si>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</si>
  <si>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</si>
  <si>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</si>
  <si>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</si>
  <si>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</si>
  <si>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</si>
  <si>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</si>
  <si>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</si>
  <si>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</si>
  <si>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</si>
  <si>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</si>
  <si>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</si>
  <si>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</si>
  <si>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</si>
  <si>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</si>
  <si>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</si>
  <si>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</si>
  <si>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</si>
  <si>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</si>
  <si>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</si>
  <si>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</si>
  <si>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</si>
  <si>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</si>
  <si>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</si>
  <si>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</si>
  <si>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</si>
  <si>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</si>
  <si>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</si>
  <si>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</si>
  <si>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</si>
  <si>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</si>
  <si>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</si>
  <si>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</si>
  <si>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</si>
  <si>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</si>
  <si>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</si>
  <si>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</si>
  <si>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</si>
  <si>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</si>
  <si>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</si>
  <si>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</si>
  <si>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</si>
  <si>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</si>
  <si>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</si>
  <si>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</si>
  <si>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</si>
  <si>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</si>
  <si>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</si>
  <si>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</si>
  <si>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</si>
  <si>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</si>
  <si>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Постановление Комитета по тарифному регулированию Мурманской области от 20.12.2023 № 51/16 "О внесении изменений в постановление Комитета по тарифному регулированию Мурманской области от 18.11.2022 № 44/114 в связи с корректировкой тарифов, ранее установленных АО "МЭС" на 2024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</si>
  <si>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</si>
  <si>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</si>
  <si>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</si>
  <si>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</si>
  <si>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</si>
  <si>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</si>
  <si>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</si>
  <si>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</si>
  <si>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</si>
  <si>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</si>
  <si>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</si>
  <si>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</si>
  <si>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</si>
  <si>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</si>
  <si>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</si>
  <si>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</si>
  <si>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</si>
  <si>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</si>
  <si>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</si>
  <si>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</si>
  <si>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</si>
  <si>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</si>
  <si>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</si>
  <si>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</si>
  <si>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</si>
  <si>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</si>
  <si>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</si>
  <si>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</si>
  <si>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</si>
  <si>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</si>
  <si>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</si>
  <si>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</si>
  <si>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</si>
  <si>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</si>
  <si>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</si>
  <si>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</si>
  <si>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</si>
  <si>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</si>
  <si>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</si>
  <si>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</si>
  <si>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</si>
  <si>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</si>
  <si>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</si>
  <si>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</si>
  <si>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</si>
  <si>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</si>
  <si>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</si>
  <si>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</si>
  <si>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</si>
  <si>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</si>
  <si>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</si>
  <si>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</si>
  <si>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</si>
  <si>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</si>
  <si>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</si>
  <si>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</si>
  <si>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</si>
  <si>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</si>
  <si>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</si>
  <si>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</si>
  <si>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</si>
  <si>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</si>
  <si>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</si>
  <si>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</si>
  <si>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</si>
  <si>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</si>
  <si>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</si>
  <si>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</si>
  <si>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</si>
  <si>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</si>
  <si>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</si>
  <si>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</si>
  <si>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</si>
  <si>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</si>
  <si>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</si>
  <si>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</si>
  <si>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</si>
  <si>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</si>
  <si>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</si>
  <si>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</si>
  <si>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</si>
  <si>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</si>
  <si>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</si>
  <si>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</si>
  <si>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</si>
  <si>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</si>
  <si>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</si>
  <si>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</si>
  <si>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</si>
  <si>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</si>
  <si>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</si>
  <si>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</si>
  <si>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</si>
  <si>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</si>
  <si>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</si>
  <si>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</si>
  <si>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</si>
  <si>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</si>
  <si>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</si>
  <si>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</si>
  <si>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</si>
  <si>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</si>
  <si>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</si>
  <si>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</si>
  <si>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</si>
  <si>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</si>
  <si>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</si>
  <si>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</si>
  <si>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</si>
  <si>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</si>
  <si>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</si>
  <si>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</si>
  <si>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</si>
  <si>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</si>
  <si>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</si>
  <si>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</si>
  <si>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</si>
  <si>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</si>
  <si>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</si>
  <si>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</si>
  <si>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</si>
  <si>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</si>
  <si>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</si>
  <si>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</si>
  <si>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</si>
  <si>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</si>
  <si>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</si>
  <si>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</si>
  <si>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</si>
  <si>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</si>
  <si>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</si>
  <si>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</si>
  <si>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</si>
  <si>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</si>
  <si>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</si>
  <si>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</si>
  <si>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</si>
  <si>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</si>
  <si>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</si>
  <si>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</si>
  <si>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</si>
  <si>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</si>
  <si>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</si>
  <si>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</si>
  <si>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</si>
  <si>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</si>
  <si>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</si>
  <si>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</si>
  <si>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</si>
  <si>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</si>
  <si>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</si>
  <si>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</si>
  <si>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</si>
  <si>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</si>
  <si>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</si>
  <si>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</si>
  <si>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</si>
  <si>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</si>
  <si>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</si>
  <si>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</si>
  <si>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</si>
  <si>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</si>
  <si>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</si>
  <si>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</si>
  <si>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</si>
  <si>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</si>
  <si>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</si>
  <si>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</si>
  <si>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</si>
  <si>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</si>
  <si>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</si>
  <si>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</si>
  <si>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</si>
  <si>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</si>
  <si>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</si>
  <si>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</si>
  <si>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</si>
  <si>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</si>
  <si>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</si>
  <si>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</si>
  <si>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</si>
  <si>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</si>
  <si>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</si>
  <si>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</si>
  <si>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</si>
  <si>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</si>
  <si>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</si>
  <si>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</si>
  <si>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</si>
  <si>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</si>
  <si>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</si>
  <si>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</si>
  <si>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</si>
  <si>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</si>
  <si>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</si>
  <si>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</si>
  <si>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</si>
  <si>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</si>
  <si>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</si>
  <si>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</si>
  <si>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</si>
  <si>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</si>
  <si>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</si>
  <si>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</si>
  <si>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</si>
  <si>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</si>
  <si>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</si>
  <si>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</si>
  <si>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</si>
  <si>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</si>
  <si>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</si>
  <si>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</si>
  <si>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</si>
  <si>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</si>
  <si>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</si>
  <si>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</si>
  <si>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</si>
  <si>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</si>
  <si>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</si>
  <si>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</si>
  <si>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</si>
  <si>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</si>
  <si>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</si>
  <si>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</si>
  <si>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</si>
  <si>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</si>
  <si>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</si>
  <si>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</si>
  <si>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</si>
  <si>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</si>
  <si>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</si>
  <si>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</si>
  <si>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</si>
  <si>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</si>
  <si>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</si>
  <si>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</si>
  <si>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</si>
  <si>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</si>
  <si>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</si>
  <si>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</si>
  <si>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</si>
  <si>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</si>
  <si>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</si>
  <si>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</si>
  <si>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</si>
  <si>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</si>
  <si>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</si>
  <si>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</si>
  <si>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</si>
  <si>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</si>
  <si>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</si>
  <si>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</si>
  <si>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</si>
  <si>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</si>
  <si>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</si>
  <si>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</si>
  <si>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</si>
  <si>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</si>
  <si>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</si>
  <si>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</si>
  <si>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</si>
  <si>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</si>
  <si>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</si>
  <si>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</si>
  <si>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</si>
  <si>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</si>
  <si>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</si>
  <si>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</si>
  <si>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</si>
  <si>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</si>
  <si>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</si>
  <si>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</si>
  <si>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</si>
  <si>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</si>
  <si>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</si>
  <si>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</si>
  <si>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</si>
  <si>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</si>
  <si>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</si>
  <si>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</si>
  <si>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</si>
  <si>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</si>
  <si>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</si>
  <si>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</si>
  <si>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</si>
  <si>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</si>
  <si>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</si>
  <si>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</si>
  <si>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</si>
  <si>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</si>
  <si>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</si>
  <si>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</si>
  <si>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</si>
  <si>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</si>
  <si>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</si>
  <si>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</si>
  <si>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</si>
  <si>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</si>
  <si>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</si>
  <si>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</si>
  <si>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</si>
  <si>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</si>
  <si>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</si>
  <si>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</si>
  <si>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</si>
  <si>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</si>
  <si>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</si>
  <si>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</si>
  <si>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</si>
  <si>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</si>
  <si>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</si>
  <si>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</si>
  <si>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</si>
  <si>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</si>
  <si>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</si>
  <si>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</si>
  <si>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</si>
  <si>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</si>
  <si>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</si>
  <si>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</si>
  <si>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</si>
  <si>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</si>
  <si>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</si>
  <si>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</si>
  <si>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</si>
  <si>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</si>
  <si>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</si>
  <si>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</si>
  <si>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</si>
  <si>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</si>
  <si>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</si>
  <si>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</si>
  <si>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</si>
  <si>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</si>
  <si>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</si>
  <si>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</si>
  <si>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</si>
  <si>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</si>
  <si>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</si>
  <si>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</si>
  <si>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</si>
  <si>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</si>
  <si>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</si>
  <si>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</si>
  <si>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</si>
  <si>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</si>
  <si>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</si>
  <si>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</si>
  <si>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</si>
  <si>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</si>
  <si>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</si>
  <si>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</si>
  <si>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</si>
  <si>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</si>
  <si>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</si>
  <si>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</si>
  <si>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</si>
  <si>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</si>
  <si>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</si>
  <si>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2611</t>
  </si>
  <si>
    <t>31043319</t>
  </si>
  <si>
    <t>АО "Апатит"</t>
  </si>
  <si>
    <t>5103070023</t>
  </si>
  <si>
    <t>511843001</t>
  </si>
  <si>
    <t>01-06-2017 00:00:00</t>
  </si>
  <si>
    <t>26319704</t>
  </si>
  <si>
    <t>997350001</t>
  </si>
  <si>
    <t>31-07-2002 00:00:00</t>
  </si>
  <si>
    <t>26319716</t>
  </si>
  <si>
    <t>АО "Аэропорт Мурманск"</t>
  </si>
  <si>
    <t>5105040715</t>
  </si>
  <si>
    <t>510501001</t>
  </si>
  <si>
    <t>26467241</t>
  </si>
  <si>
    <t>АО "Завод ТО ТБО"</t>
  </si>
  <si>
    <t>5190400081</t>
  </si>
  <si>
    <t>14-10-2002 00:00:00</t>
  </si>
  <si>
    <t>26467339</t>
  </si>
  <si>
    <t>АО "Ковдорский ГОК"</t>
  </si>
  <si>
    <t>5104002234</t>
  </si>
  <si>
    <t>997550001</t>
  </si>
  <si>
    <t>26319706</t>
  </si>
  <si>
    <t>АО "Кольская ГМК"</t>
  </si>
  <si>
    <t>5191431170</t>
  </si>
  <si>
    <t>16-11-1998 00:00:00</t>
  </si>
  <si>
    <t>26467347</t>
  </si>
  <si>
    <t>АО "Мончегорская теплосеть"</t>
  </si>
  <si>
    <t>5107909768</t>
  </si>
  <si>
    <t>510701001</t>
  </si>
  <si>
    <t>26318564</t>
  </si>
  <si>
    <t>АО "Мурманская ТЭЦ"</t>
  </si>
  <si>
    <t>5190141373</t>
  </si>
  <si>
    <t>26467248</t>
  </si>
  <si>
    <t>АО "Мурманский морской торговый порт"</t>
  </si>
  <si>
    <t>5190400349</t>
  </si>
  <si>
    <t>30-06-1994 00:00:00</t>
  </si>
  <si>
    <t>27030253</t>
  </si>
  <si>
    <t>26319735</t>
  </si>
  <si>
    <t>АО "ОЛКОН"</t>
  </si>
  <si>
    <t>5108300030</t>
  </si>
  <si>
    <t>519950001</t>
  </si>
  <si>
    <t>31457355</t>
  </si>
  <si>
    <t>АО "ОТС"</t>
  </si>
  <si>
    <t>5108003888</t>
  </si>
  <si>
    <t>510801001</t>
  </si>
  <si>
    <t>01-10-2020 00:00:00</t>
  </si>
  <si>
    <t>26838066</t>
  </si>
  <si>
    <t>АО "РЭУ"</t>
  </si>
  <si>
    <t>7714783092</t>
  </si>
  <si>
    <t>770401001</t>
  </si>
  <si>
    <t>28150020</t>
  </si>
  <si>
    <t>АО "ХТК"</t>
  </si>
  <si>
    <t>5101360369</t>
  </si>
  <si>
    <t>510301001</t>
  </si>
  <si>
    <t>26-04-2007 00:00:00</t>
  </si>
  <si>
    <t>26526562</t>
  </si>
  <si>
    <t>АО "ЦС "Звездочка" (филиал "СРЗ "Нерпа")</t>
  </si>
  <si>
    <t>2902060361</t>
  </si>
  <si>
    <t>511243001</t>
  </si>
  <si>
    <t>26319710</t>
  </si>
  <si>
    <t>Акционерное Общество "Мурманский морской рыбный порт"</t>
  </si>
  <si>
    <t>5190146332</t>
  </si>
  <si>
    <t>14-02-2006 00:00:00</t>
  </si>
  <si>
    <t>26319745</t>
  </si>
  <si>
    <t>Акционерное общество "Апатитыэнерго"</t>
  </si>
  <si>
    <t>5101360376</t>
  </si>
  <si>
    <t>511801001</t>
  </si>
  <si>
    <t>26824425</t>
  </si>
  <si>
    <t>Акционерное общество "Мурманская областная электросетевая компания"</t>
  </si>
  <si>
    <t>5190197680</t>
  </si>
  <si>
    <t>26467341</t>
  </si>
  <si>
    <t>ГОУП "Мурманскводоканал"</t>
  </si>
  <si>
    <t>5193600346</t>
  </si>
  <si>
    <t>15-05-1998 00:00:00</t>
  </si>
  <si>
    <t>КОМИТЕТ ПО ТАРИФНОМУ РЕГУЛИРОВАНИЮ МУРМАНСКОЙ ОБЛАСТИ</t>
  </si>
  <si>
    <t>5190127403</t>
  </si>
  <si>
    <t>31464643</t>
  </si>
  <si>
    <t>МБУ "РЭС"</t>
  </si>
  <si>
    <t>5109003658</t>
  </si>
  <si>
    <t>510901001</t>
  </si>
  <si>
    <t>26373357</t>
  </si>
  <si>
    <t>МБУ "СЕЗ МО с.п. Пушной"</t>
  </si>
  <si>
    <t>5105032256</t>
  </si>
  <si>
    <t>27050449</t>
  </si>
  <si>
    <t>МКП "Жилищное хозяйство" МО с.п. Печенга</t>
  </si>
  <si>
    <t>5109002037</t>
  </si>
  <si>
    <t>02-02-2011 00:00:00</t>
  </si>
  <si>
    <t>27589134</t>
  </si>
  <si>
    <t>МКП с.п. Корзуново "Тепложилсервис"</t>
  </si>
  <si>
    <t>5109004429</t>
  </si>
  <si>
    <t>01-09-2011 00:00:00</t>
  </si>
  <si>
    <t>31225444</t>
  </si>
  <si>
    <t>МУП "ВКХ"</t>
  </si>
  <si>
    <t>5102003828</t>
  </si>
  <si>
    <t>510201001</t>
  </si>
  <si>
    <t>24-07-2018 00:00:00</t>
  </si>
  <si>
    <t>28459690</t>
  </si>
  <si>
    <t>МУП "Водоканал-Ревда" муниципального образования городское поселение Ревда Ловозерского района</t>
  </si>
  <si>
    <t>5106000176</t>
  </si>
  <si>
    <t>510601001</t>
  </si>
  <si>
    <t>31327720</t>
  </si>
  <si>
    <t>МУП "ГУК"</t>
  </si>
  <si>
    <t>5108003493</t>
  </si>
  <si>
    <t>30946827</t>
  </si>
  <si>
    <t>МУП "ДТХ" ЗАТО г. Заозерск</t>
  </si>
  <si>
    <t>5115300200</t>
  </si>
  <si>
    <t>511501001</t>
  </si>
  <si>
    <t>29649074</t>
  </si>
  <si>
    <t>МУП "Ена"</t>
  </si>
  <si>
    <t>5104001449</t>
  </si>
  <si>
    <t>510401001</t>
  </si>
  <si>
    <t>28459754</t>
  </si>
  <si>
    <t>МУП "Кильдинстрой"</t>
  </si>
  <si>
    <t>5105032707</t>
  </si>
  <si>
    <t>26319744</t>
  </si>
  <si>
    <t>МУП "Кировская городская электрическая сеть"</t>
  </si>
  <si>
    <t>5103021241</t>
  </si>
  <si>
    <t>28875370</t>
  </si>
  <si>
    <t>МУП "Лавна"</t>
  </si>
  <si>
    <t>5105032753</t>
  </si>
  <si>
    <t>27579061</t>
  </si>
  <si>
    <t>МУП "МУК"</t>
  </si>
  <si>
    <t>5190932618</t>
  </si>
  <si>
    <t>26467328</t>
  </si>
  <si>
    <t>МУП "Недвижимость Кандалакши"</t>
  </si>
  <si>
    <t>5102002253</t>
  </si>
  <si>
    <t>30866806</t>
  </si>
  <si>
    <t>МУП "Ресурс"</t>
  </si>
  <si>
    <t>5102003507</t>
  </si>
  <si>
    <t>08-12-2016 00:00:00</t>
  </si>
  <si>
    <t>26526674</t>
  </si>
  <si>
    <t>МУП "Сервис"</t>
  </si>
  <si>
    <t>5111002718</t>
  </si>
  <si>
    <t>511101001</t>
  </si>
  <si>
    <t>27061909</t>
  </si>
  <si>
    <t>МУП "Тепловые сети МО г. Заполярный"</t>
  </si>
  <si>
    <t>5109004718</t>
  </si>
  <si>
    <t>26646677</t>
  </si>
  <si>
    <t>МУП "УМС-СЕЗ  г.п. Молочный"</t>
  </si>
  <si>
    <t>5105030940</t>
  </si>
  <si>
    <t>30918265</t>
  </si>
  <si>
    <t>МУП "Хибины"</t>
  </si>
  <si>
    <t>5103301030</t>
  </si>
  <si>
    <t>29649087</t>
  </si>
  <si>
    <t>МУП "Энергия"</t>
  </si>
  <si>
    <t>5117000065</t>
  </si>
  <si>
    <t>511701001</t>
  </si>
  <si>
    <t>31432376</t>
  </si>
  <si>
    <t>МУП «РККР»</t>
  </si>
  <si>
    <t>5105013486</t>
  </si>
  <si>
    <t>29-05-2020 00:00:00</t>
  </si>
  <si>
    <t>30866847</t>
  </si>
  <si>
    <t>МУП ЖКХ "Вымпел"</t>
  </si>
  <si>
    <t>5102000619</t>
  </si>
  <si>
    <t>11-11-2015 00:00:00</t>
  </si>
  <si>
    <t>31041154</t>
  </si>
  <si>
    <t>МУП Кольского района "УЖКХ"</t>
  </si>
  <si>
    <t>5105032739</t>
  </si>
  <si>
    <t>26382470</t>
  </si>
  <si>
    <t>МУПП "ЖКХ" ЗАТО Видяево</t>
  </si>
  <si>
    <t>5105031630</t>
  </si>
  <si>
    <t>511001001</t>
  </si>
  <si>
    <t>31-10-2002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</si>
  <si>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</si>
  <si>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</si>
  <si>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</si>
  <si>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</si>
  <si>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</si>
  <si>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28014300</t>
  </si>
  <si>
    <t>ООО "АтомТеплоЭлектроСеть"</t>
  </si>
  <si>
    <t>7705923730</t>
  </si>
  <si>
    <t>511743001</t>
  </si>
  <si>
    <t>30845082</t>
  </si>
  <si>
    <t>ООО "Верхнетуломская тепловая компания"</t>
  </si>
  <si>
    <t>5105010439</t>
  </si>
  <si>
    <t>30832102</t>
  </si>
  <si>
    <t>ООО "Мурмашинская тепловая компания"</t>
  </si>
  <si>
    <t>5105010446</t>
  </si>
  <si>
    <t>28499647</t>
  </si>
  <si>
    <t>ООО "ПромВоенСтрой"</t>
  </si>
  <si>
    <t>7842410730</t>
  </si>
  <si>
    <t>784101001</t>
  </si>
  <si>
    <t>19-06-2009 00:00:00</t>
  </si>
  <si>
    <t>28981214</t>
  </si>
  <si>
    <t>ООО "СМАРТ ЭНЕРГО"</t>
  </si>
  <si>
    <t>5190048543</t>
  </si>
  <si>
    <t>26-06-2023 00:00:00</t>
  </si>
  <si>
    <t>30408038</t>
  </si>
  <si>
    <t>ООО "СТК"</t>
  </si>
  <si>
    <t>5102000545</t>
  </si>
  <si>
    <t>27570497</t>
  </si>
  <si>
    <t>ООО "СевТехноСервис"</t>
  </si>
  <si>
    <t>5106801049</t>
  </si>
  <si>
    <t>26373352</t>
  </si>
  <si>
    <t>ООО "Тепловодоканал"</t>
  </si>
  <si>
    <t>5104908766</t>
  </si>
  <si>
    <t>21-03-2003 00:00:00</t>
  </si>
  <si>
    <t>28878308</t>
  </si>
  <si>
    <t>ООО "Теплонорд"</t>
  </si>
  <si>
    <t>7841501872</t>
  </si>
  <si>
    <t>31639144</t>
  </si>
  <si>
    <t>ООО "Теплосетевая компания СЕВЕР"</t>
  </si>
  <si>
    <t>1001349036</t>
  </si>
  <si>
    <t>100101001</t>
  </si>
  <si>
    <t>28-08-2020 00:00:00</t>
  </si>
  <si>
    <t>26467459</t>
  </si>
  <si>
    <t>ООО "Теплострой плюс"</t>
  </si>
  <si>
    <t>7842322869</t>
  </si>
  <si>
    <t>784201001</t>
  </si>
  <si>
    <t>31538928</t>
  </si>
  <si>
    <t>ООО «ТЭС»</t>
  </si>
  <si>
    <t>5108004000</t>
  </si>
  <si>
    <t>30946839</t>
  </si>
  <si>
    <t>ООО «Тепло Людям. Умба»</t>
  </si>
  <si>
    <t>5190070965</t>
  </si>
  <si>
    <t>30397624</t>
  </si>
  <si>
    <t>ОП "Мурманское" АО "ГУ ЖКХ"</t>
  </si>
  <si>
    <t>5116000922</t>
  </si>
  <si>
    <t>519045001</t>
  </si>
  <si>
    <t>12-10-2015 00:00:00</t>
  </si>
  <si>
    <t>27670488</t>
  </si>
  <si>
    <t>Октябрьская железная дорога - филиал ОАО "РЖД"</t>
  </si>
  <si>
    <t>997650011</t>
  </si>
  <si>
    <t>26467270</t>
  </si>
  <si>
    <t>ПАО "ТГК-1" (филиал "Кольский")</t>
  </si>
  <si>
    <t>7841312071</t>
  </si>
  <si>
    <t>30397151</t>
  </si>
  <si>
    <t>ТП "Водоканал" АО "ГУ ЖКХ"</t>
  </si>
  <si>
    <t>511645001</t>
  </si>
  <si>
    <t>25-09-2015 00:00:00</t>
  </si>
  <si>
    <t>26373354</t>
  </si>
  <si>
    <t>УМ ЖКП п. Туманный</t>
  </si>
  <si>
    <t>5105031559</t>
  </si>
  <si>
    <t>03-07-2002 00:00:00</t>
  </si>
  <si>
    <t>09-06-2023 00:00:00</t>
  </si>
  <si>
    <t>28941546</t>
  </si>
  <si>
    <t>УМПП ЖКХ ЗАТО Александровск</t>
  </si>
  <si>
    <t>5112100059</t>
  </si>
  <si>
    <t>511601001</t>
  </si>
  <si>
    <t>31165640</t>
  </si>
  <si>
    <t>ФГБУ "Главрыбвод" Мурманский филиал</t>
  </si>
  <si>
    <t>7708044880</t>
  </si>
  <si>
    <t>519043001</t>
  </si>
  <si>
    <t>23-01-2017 00:00:00</t>
  </si>
  <si>
    <t>30929355</t>
  </si>
  <si>
    <t>ФГБУ "ЦЖКУ" МО РФ (по ОСК Северного флота)</t>
  </si>
  <si>
    <t>7729314745</t>
  </si>
  <si>
    <t>26467455</t>
  </si>
  <si>
    <t>ФКУ ИК-18 УФСИН России по Мурманской области</t>
  </si>
  <si>
    <t>5105020878</t>
  </si>
  <si>
    <t>26506535</t>
  </si>
  <si>
    <t>Филиал АО Концерн Росэнергоатом Кольская атомная станция</t>
  </si>
  <si>
    <t>7721632827</t>
  </si>
  <si>
    <t>26467656</t>
  </si>
  <si>
    <t>АО "Апатитыводоканал"</t>
  </si>
  <si>
    <t>5101360351</t>
  </si>
  <si>
    <t>12-04-2007 00:00:00</t>
  </si>
  <si>
    <t>31414935</t>
  </si>
  <si>
    <t>АО "Городские сети</t>
  </si>
  <si>
    <t>5105013366</t>
  </si>
  <si>
    <t>25-02-2020 00:00:00</t>
  </si>
  <si>
    <t>26373361</t>
  </si>
  <si>
    <t>АО "Мончегорскводоканал"</t>
  </si>
  <si>
    <t>5107909951</t>
  </si>
  <si>
    <t>01-12-2005 00:00:00</t>
  </si>
  <si>
    <t>26319732</t>
  </si>
  <si>
    <t>АО "ЦС "Звездочка" (филиал "35 СРЗ")</t>
  </si>
  <si>
    <t>12-11-2008 00:00:00</t>
  </si>
  <si>
    <t>26373345</t>
  </si>
  <si>
    <t>ГОУП "Кандалакшаводоканал"</t>
  </si>
  <si>
    <t>5102006040</t>
  </si>
  <si>
    <t>17-05-2002 00:00:00</t>
  </si>
  <si>
    <t>27562734</t>
  </si>
  <si>
    <t>МАУ "СЕЗ м.о. г.п. Печенга"</t>
  </si>
  <si>
    <t>5109003552</t>
  </si>
  <si>
    <t>28-10-2010 00:00:00</t>
  </si>
  <si>
    <t>15-12-2022 00:00:00</t>
  </si>
  <si>
    <t>26646662</t>
  </si>
  <si>
    <t>МБУ "СЕЗ МО п. Кильдинстрой"</t>
  </si>
  <si>
    <t>5105032224</t>
  </si>
  <si>
    <t>26319743</t>
  </si>
  <si>
    <t>МУП "Горэлектросеть" ЗАТО г. Островной</t>
  </si>
  <si>
    <t>5114120981</t>
  </si>
  <si>
    <t>511401001</t>
  </si>
  <si>
    <t>31618229</t>
  </si>
  <si>
    <t>МУП "Ковдорводоканал"</t>
  </si>
  <si>
    <t>5104005443</t>
  </si>
  <si>
    <t>01-07-2022 00:00:00</t>
  </si>
  <si>
    <t>26373365</t>
  </si>
  <si>
    <t>МУП "Североморскводоканал"</t>
  </si>
  <si>
    <t>5110120910</t>
  </si>
  <si>
    <t>22-09-1998 00:00:00</t>
  </si>
  <si>
    <t>30946922</t>
  </si>
  <si>
    <t>МУП "Сети Никеля"</t>
  </si>
  <si>
    <t>5109004556</t>
  </si>
  <si>
    <t>26528627</t>
  </si>
  <si>
    <t>МУП тепловых сетей ЗАТО г. Островной</t>
  </si>
  <si>
    <t>5114020137</t>
  </si>
  <si>
    <t>21-02-2023 00:00:00</t>
  </si>
  <si>
    <t>26319709</t>
  </si>
  <si>
    <t>ОАО "Мурманский комбинат хлебопродуктов"</t>
  </si>
  <si>
    <t>5190400162</t>
  </si>
  <si>
    <t>21-06-1993 00:00:00</t>
  </si>
  <si>
    <t>31596508</t>
  </si>
  <si>
    <t>ООО "Арно-Трейд"</t>
  </si>
  <si>
    <t>5112091319</t>
  </si>
  <si>
    <t>511201001</t>
  </si>
  <si>
    <t>04-12-2007 00:00:00</t>
  </si>
  <si>
    <t>28877705</t>
  </si>
  <si>
    <t>ООО "КВК-2"</t>
  </si>
  <si>
    <t>5102046807</t>
  </si>
  <si>
    <t>060801001</t>
  </si>
  <si>
    <t>28877719</t>
  </si>
  <si>
    <t>ООО "КВК-3"</t>
  </si>
  <si>
    <t>5102046814</t>
  </si>
  <si>
    <t>26380532</t>
  </si>
  <si>
    <t>ООО "Калган"</t>
  </si>
  <si>
    <t>5112700218</t>
  </si>
  <si>
    <t>29-01-2002 00:00:00</t>
  </si>
  <si>
    <t>31041188</t>
  </si>
  <si>
    <t>ООО "Север-Сити"</t>
  </si>
  <si>
    <t>5110005025</t>
  </si>
  <si>
    <t>31243294</t>
  </si>
  <si>
    <t>ООО "СпецНордПром"</t>
  </si>
  <si>
    <t>7842108495</t>
  </si>
  <si>
    <t>19-05-2016 00:00:00</t>
  </si>
  <si>
    <t>30873097</t>
  </si>
  <si>
    <t>ООО «ПТФ «Мурманская»</t>
  </si>
  <si>
    <t>5105092390</t>
  </si>
  <si>
    <t>31394853</t>
  </si>
  <si>
    <t>АО "10 СРЗ"</t>
  </si>
  <si>
    <t>5116001041</t>
  </si>
  <si>
    <t>03-06-2010 00:00:00</t>
  </si>
  <si>
    <t>30946916</t>
  </si>
  <si>
    <t>ООО "КС Север-Эйдж"</t>
  </si>
  <si>
    <t>5190068765</t>
  </si>
  <si>
    <t>10-05-2023 00:00:00</t>
  </si>
  <si>
    <t>31492123</t>
  </si>
  <si>
    <t>ООО «ЦИТАДЕЛЬ-13»</t>
  </si>
  <si>
    <t>9715361731</t>
  </si>
  <si>
    <t>771501001</t>
  </si>
  <si>
    <t>05-04-2021 00:00:00</t>
  </si>
  <si>
    <t>26526501</t>
  </si>
  <si>
    <t>Филиал АО "РУСАЛ Урал" в Кандалакше "Объединенная компания РУСАЛ Кандалакшский алюминиевый завод"</t>
  </si>
  <si>
    <t>6612005052</t>
  </si>
  <si>
    <t>510203001</t>
  </si>
  <si>
    <t>28268757</t>
  </si>
  <si>
    <t>ММУП "Городское благоустройство"</t>
  </si>
  <si>
    <t>5107910717</t>
  </si>
  <si>
    <t>31227058</t>
  </si>
  <si>
    <t>Мурманский филиал АО "Ситиматик"</t>
  </si>
  <si>
    <t>7725727149</t>
  </si>
  <si>
    <t>28878730</t>
  </si>
  <si>
    <t>ООО "КПК"</t>
  </si>
  <si>
    <t>5102046437</t>
  </si>
  <si>
    <t>26631343</t>
  </si>
  <si>
    <t>ООО "Ковдорское общество содействия ветеранам войны"</t>
  </si>
  <si>
    <t>5104909907</t>
  </si>
  <si>
    <t>28878630</t>
  </si>
  <si>
    <t>ООО "Кольская АЭС -Авто"</t>
  </si>
  <si>
    <t>5117065288</t>
  </si>
  <si>
    <t>26467563</t>
  </si>
  <si>
    <t>ООО "Орко-инвест"</t>
  </si>
  <si>
    <t>5190132322</t>
  </si>
  <si>
    <t>26467566</t>
  </si>
  <si>
    <t>ООО "Спецтехтранс"</t>
  </si>
  <si>
    <t>5108996918</t>
  </si>
  <si>
    <t>31233365</t>
  </si>
  <si>
    <t>ООО "Чистый город"</t>
  </si>
  <si>
    <t>5103063072</t>
  </si>
  <si>
    <t>28269397</t>
  </si>
  <si>
    <t>ООО "Экоплан"</t>
  </si>
  <si>
    <t>5109004436</t>
  </si>
  <si>
    <t>28142611</t>
  </si>
  <si>
    <t>ООО «Ловозеро-Жилсервис»</t>
  </si>
  <si>
    <t>5106801017</t>
  </si>
  <si>
    <t>10-03-2009 00:00:00</t>
  </si>
  <si>
    <t>NSRF</t>
  </si>
  <si>
    <t>MR_NAME</t>
  </si>
  <si>
    <t>OKTMO_MR_NAME</t>
  </si>
  <si>
    <t>MO_NAME</t>
  </si>
  <si>
    <t>OKTMO_NAME</t>
  </si>
  <si>
    <t>TYPE</t>
  </si>
  <si>
    <t>MR_ID</t>
  </si>
  <si>
    <t>Город Апатиты</t>
  </si>
  <si>
    <t>47705000</t>
  </si>
  <si>
    <t>городской округ</t>
  </si>
  <si>
    <t>Город Кировск</t>
  </si>
  <si>
    <t>47712000</t>
  </si>
  <si>
    <t>Город Мончегорск</t>
  </si>
  <si>
    <t>47715000</t>
  </si>
  <si>
    <t>Город Оленегорск</t>
  </si>
  <si>
    <t>47717000</t>
  </si>
  <si>
    <t>Город Полярные Зори</t>
  </si>
  <si>
    <t>47719000</t>
  </si>
  <si>
    <t>ЗАТО город Александровск</t>
  </si>
  <si>
    <t>47737000</t>
  </si>
  <si>
    <t>ЗАТО город Заозерск</t>
  </si>
  <si>
    <t>47733000</t>
  </si>
  <si>
    <t>ЗАТО город Островной</t>
  </si>
  <si>
    <t>47731000</t>
  </si>
  <si>
    <t>ЗАТО город Североморск</t>
  </si>
  <si>
    <t>47730000</t>
  </si>
  <si>
    <t>ЗАТО поселок Видяево</t>
  </si>
  <si>
    <t>47735000</t>
  </si>
  <si>
    <t>сельское поселение</t>
  </si>
  <si>
    <t>Город Кандалакша</t>
  </si>
  <si>
    <t>47608101</t>
  </si>
  <si>
    <t>городское поселение, в состав которого входит город</t>
  </si>
  <si>
    <t>Зареченское сельское поселение</t>
  </si>
  <si>
    <t>47608407</t>
  </si>
  <si>
    <t>муниципальный район</t>
  </si>
  <si>
    <t>Поселок Зеленоборский</t>
  </si>
  <si>
    <t>47608158</t>
  </si>
  <si>
    <t>городское поселение, в состав которого входит поселок</t>
  </si>
  <si>
    <t>муниципальный округ</t>
  </si>
  <si>
    <t>Ковдорский район</t>
  </si>
  <si>
    <t>47703000</t>
  </si>
  <si>
    <t>Кольский муниципальный район</t>
  </si>
  <si>
    <t>47605000</t>
  </si>
  <si>
    <t>Междуреченское сельское поселение</t>
  </si>
  <si>
    <t>47605402</t>
  </si>
  <si>
    <t>Поселок Верхнетуломский</t>
  </si>
  <si>
    <t>47605154</t>
  </si>
  <si>
    <t>Поселок Кильдинстрой</t>
  </si>
  <si>
    <t>47605158</t>
  </si>
  <si>
    <t>Поселок Мурмаши</t>
  </si>
  <si>
    <t>47605163</t>
  </si>
  <si>
    <t>Поселок Туманный</t>
  </si>
  <si>
    <t>47605173</t>
  </si>
  <si>
    <t>Пушновское сельское поселение</t>
  </si>
  <si>
    <t>47605404</t>
  </si>
  <si>
    <t>Териберское сельское поселение</t>
  </si>
  <si>
    <t>47605405</t>
  </si>
  <si>
    <t>Туломское сельское поселение</t>
  </si>
  <si>
    <t>47605406</t>
  </si>
  <si>
    <t>городское поселение Кола</t>
  </si>
  <si>
    <t>47605101</t>
  </si>
  <si>
    <t>городское поселение Молочный</t>
  </si>
  <si>
    <t>47605161</t>
  </si>
  <si>
    <t>сельское поселение Ура-Губа</t>
  </si>
  <si>
    <t>47605407</t>
  </si>
  <si>
    <t>Ловозерский муниципальный район</t>
  </si>
  <si>
    <t>47610000</t>
  </si>
  <si>
    <t>Поселок Ревда</t>
  </si>
  <si>
    <t>47610154</t>
  </si>
  <si>
    <t>сельское поселение Ловозеро</t>
  </si>
  <si>
    <t>47610401</t>
  </si>
  <si>
    <t>Печенгский муниципальный округ</t>
  </si>
  <si>
    <t>47515000</t>
  </si>
  <si>
    <t>Печенгский муниципальный район</t>
  </si>
  <si>
    <t>47615000</t>
  </si>
  <si>
    <t>Город Заполярный</t>
  </si>
  <si>
    <t>47615103</t>
  </si>
  <si>
    <t>Поселок Никель</t>
  </si>
  <si>
    <t>47615151</t>
  </si>
  <si>
    <t>Поселок Печенга</t>
  </si>
  <si>
    <t>47615162</t>
  </si>
  <si>
    <t>сельское поселение Корзуново</t>
  </si>
  <si>
    <t>47615406</t>
  </si>
  <si>
    <t>Терский муниципальный район</t>
  </si>
  <si>
    <t>47620000</t>
  </si>
  <si>
    <t>Варзугское</t>
  </si>
  <si>
    <t>47620401</t>
  </si>
  <si>
    <t>Поселок Умба</t>
  </si>
  <si>
    <t>47620151</t>
  </si>
  <si>
    <t>город Апатиты</t>
  </si>
  <si>
    <t>47519000</t>
  </si>
  <si>
    <t>город Кировск</t>
  </si>
  <si>
    <t>47522000</t>
  </si>
  <si>
    <t>город Мончегорск</t>
  </si>
  <si>
    <t>47524000</t>
  </si>
  <si>
    <t>город Оленегорск</t>
  </si>
  <si>
    <t>47526000</t>
  </si>
  <si>
    <t>город Полярные Зори</t>
  </si>
  <si>
    <t>47528000</t>
  </si>
  <si>
    <t>город-герой Мурманск</t>
  </si>
  <si>
    <t>47701000</t>
  </si>
  <si>
    <t>NUMBER_POINT</t>
  </si>
  <si>
    <t>INVP_NAME</t>
  </si>
  <si>
    <t>INVP_ID</t>
  </si>
  <si>
    <t>L_START_DATE</t>
  </si>
  <si>
    <t>L_END_DATE</t>
  </si>
  <si>
    <t>L_DECISION_NAME</t>
  </si>
  <si>
    <t>L_DECISION_TYPE</t>
  </si>
  <si>
    <t>L_DECISION_NMBR</t>
  </si>
  <si>
    <t>L_DECISION_DATE</t>
  </si>
  <si>
    <t>TER_NAME</t>
  </si>
  <si>
    <t>Территория 1</t>
  </si>
  <si>
    <t>Территория 2</t>
  </si>
  <si>
    <t>Территория 3</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</si>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</sst>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1" formatCode="_(* #,##0_);_(* (#,##0);_(* &quot;-&quot;_);_(@_)"/>
    <numFmt numFmtId="43" formatCode="_(* #,##0.00_);_(* (#,##0.00);_(* &quot;-&quot;??_);_(@_)"/>
    <numFmt numFmtId="44" formatCode="_(&quot;$&quot;* #,##0.00_);_(&quot;$&quot;* (#,##0.00);_(&quot;$&quot;* &quot;-&quot;??_);_(@_)"/>
    <numFmt numFmtId="164" formatCode="#,##0.000"/>
    <numFmt numFmtId="165" formatCode="000000"/>
    <numFmt numFmtId="166" formatCode="#,##0.0000"/>
    <numFmt numFmtId="167" formatCode="dd\.mm\.yyyy"/>
    <numFmt numFmtId="168" formatCode="h:mm;@"/>
    <numFmt numFmtId="169" formatCode="&quot;$&quot;#,##0_);[Red]\(&quot;$&quot;#,##0\)"/>
    <numFmt numFmtId="170" formatCode="_-* #,##0.00[$€-1]_-;\-* #,##0.00[$€-1]_-;_-* &quot;-&quot;??[$€-1]_-"/>
    <numFmt numFmtId="171" formatCode="#,##0.0"/>
  </numFmts>
  <fonts count="131">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sz val="12"/>
      <color auto="1"/>
      <name val="Arial"/>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10"/>
      <color auto="1"/>
      <name val="Tahoma"/>
    </font>
    <font>
      <sz val="9"/>
      <color auto="1"/>
      <name val="Tahoma"/>
    </font>
    <font>
      <sz val="8"/>
      <color auto="1"/>
      <name val="Palatino"/>
    </font>
    <font>
      <u/>
      <sz val="10"/>
      <color rgb="FF800080"/>
      <name val="Arial Cyr"/>
    </font>
    <font>
      <u/>
      <sz val="10"/>
      <color rgb="FF0000FF"/>
      <name val="Arial Cyr"/>
    </font>
    <font>
      <sz val="8"/>
      <color auto="1"/>
      <name val="Helv"/>
    </font>
    <font>
      <sz val="11"/>
      <color auto="1"/>
      <name val="Tahoma"/>
    </font>
    <font>
      <sz val="11"/>
      <color rgb="FF333399"/>
      <name val="Calibri"/>
    </font>
    <font>
      <b/>
      <u/>
      <sz val="11"/>
      <color rgb="FF0000FF"/>
      <name val="Arial"/>
    </font>
    <font>
      <u/>
      <sz val="9"/>
      <color rgb="FF0000FF"/>
      <name val="Tahoma"/>
    </font>
    <font>
      <u/>
      <sz val="9"/>
      <color rgb="FF000080"/>
      <name val="Tahoma"/>
    </font>
    <font>
      <b/>
      <u/>
      <sz val="9"/>
      <color rgb="FF0000FF"/>
      <name val="Tahoma"/>
    </font>
    <font>
      <u/>
      <sz val="9"/>
      <color rgb="FF333399"/>
      <name val="Tahoma"/>
    </font>
    <font>
      <b/>
      <sz val="14"/>
      <color auto="1"/>
      <name val="Franklin Gothic Medium"/>
    </font>
    <font>
      <b/>
      <sz val="9"/>
      <color auto="1"/>
      <name val="Tahoma"/>
    </font>
    <font>
      <sz val="11"/>
      <color rgb="FF000000"/>
      <name val="Calibri"/>
    </font>
    <font>
      <sz val="10"/>
      <color auto="1"/>
      <name val="Arial Cyr"/>
    </font>
    <font>
      <sz val="9"/>
      <color rgb="FF00FF00"/>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auto="1"/>
      <name val="Tahoma"/>
    </font>
    <font>
      <u/>
      <sz val="9"/>
      <color theme="10"/>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C0C0C0"/>
      </patternFill>
    </fill>
    <fill>
      <patternFill patternType="solid">
        <fgColor rgb="FF969696"/>
      </patternFill>
    </fill>
    <fill>
      <patternFill patternType="solid">
        <fgColor rgb="FF00FF00"/>
      </patternFill>
    </fill>
    <fill>
      <patternFill patternType="solid">
        <fgColor rgb="FFFFFFFF"/>
      </patternFill>
    </fill>
    <fill>
      <patternFill patternType="solid">
        <fgColor rgb="FFD7EAD3"/>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8">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808080"/>
      </left>
      <right style="thin">
        <color rgb="FF808080"/>
      </right>
      <top style="thin">
        <color rgb="FF808080"/>
      </top>
      <bottom style="thin">
        <color rgb="FF808080"/>
      </bottom>
    </border>
    <border>
      <left style="thick">
        <color rgb="FF808080"/>
      </left>
      <right style="thick">
        <color rgb="FF808080"/>
      </right>
      <top style="thick">
        <color rgb="FF808080"/>
      </top>
      <bottom style="thick">
        <color rgb="FF808080"/>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80">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16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0" fontId="20" fillId="0" borderId="0" applyFont="1" applyFill="0" applyBorder="0" applyNumberFormat="1"/>
    <xf numFmtId="38" fontId="21" fillId="0" borderId="0" applyFont="1" applyFill="0" applyBorder="0" applyNumberFormat="1">
      <alignment vertical="top"/>
    </xf>
    <xf numFmtId="0" fontId="22" fillId="0" borderId="10" applyFont="1" applyFill="0" applyBorder="1">
      <alignment vertical="top"/>
      <protection locked="0"/>
    </xf>
    <xf numFmtId="171" fontId="23" fillId="33" borderId="0" applyFont="1" applyFill="1" applyBorder="0" applyNumberFormat="1">
      <protection locked="0"/>
    </xf>
    <xf numFmtId="0" fontId="24" fillId="0" borderId="0" applyFont="1" applyFill="0" applyBorder="0">
      <alignment vertical="center"/>
    </xf>
    <xf numFmtId="164" fontId="23" fillId="33" borderId="0" applyFont="1" applyFill="1" applyBorder="0" applyNumberFormat="1">
      <protection locked="0"/>
    </xf>
    <xf numFmtId="166" fontId="23" fillId="33" borderId="0" applyFont="1" applyFill="1" applyBorder="0" applyNumberFormat="1">
      <protection locked="0"/>
    </xf>
    <xf numFmtId="0" fontId="25" fillId="0" borderId="0" applyFont="1" applyFill="0" applyBorder="0">
      <alignment vertical="top"/>
    </xf>
    <xf numFmtId="0" fontId="22" fillId="34" borderId="10" applyFont="1" applyFill="1" applyBorder="1">
      <alignment vertical="top"/>
    </xf>
    <xf numFmtId="0" fontId="26" fillId="0" borderId="0" applyFont="1" applyFill="0" applyBorder="0">
      <alignment vertical="top"/>
    </xf>
    <xf numFmtId="0" fontId="27" fillId="0" borderId="0" applyFont="1" applyFill="0" applyBorder="0"/>
    <xf numFmtId="0" fontId="28" fillId="35" borderId="11" applyFont="1" applyFill="1" applyBorder="1">
      <alignment horizontal="center" vertical="center"/>
    </xf>
    <xf numFmtId="0" fontId="29" fillId="30" borderId="10" applyFont="1" applyFill="1" applyBorder="1">
      <alignment vertical="top"/>
    </xf>
    <xf numFmtId="0" fontId="30" fillId="0" borderId="0" applyFont="1" applyFill="0" applyBorder="0">
      <alignment vertical="top"/>
    </xf>
    <xf numFmtId="0" fontId="31" fillId="0" borderId="0" applyFont="1" applyFill="0" applyBorder="0">
      <alignment vertical="top"/>
    </xf>
    <xf numFmtId="0" fontId="32" fillId="0" borderId="0" applyFont="1" applyFill="0" applyBorder="0">
      <alignment vertical="top"/>
    </xf>
    <xf numFmtId="0" fontId="33" fillId="0" borderId="0" applyFont="1" applyFill="0" applyBorder="0">
      <alignment vertical="top"/>
    </xf>
    <xf numFmtId="0" fontId="34" fillId="0" borderId="0" applyFont="1" applyFill="0" applyBorder="0">
      <alignment vertical="top"/>
    </xf>
    <xf numFmtId="0" fontId="35" fillId="0" borderId="0" applyFont="1" applyFill="0" applyBorder="0">
      <alignment horizontal="center" vertical="center" wrapText="1"/>
    </xf>
    <xf numFmtId="0" fontId="36" fillId="0" borderId="0" applyFont="1" applyFill="0" applyBorder="0">
      <alignment horizontal="center" vertical="center" wrapText="1"/>
    </xf>
    <xf numFmtId="4" fontId="23" fillId="33" borderId="0" applyFont="1" applyFill="1" applyBorder="0" applyNumberFormat="1">
      <alignment horizontal="right"/>
    </xf>
    <xf numFmtId="49" fontId="23" fillId="0" borderId="0" applyFont="1" applyFill="0" applyBorder="0" applyNumberFormat="1">
      <alignment vertical="top"/>
    </xf>
    <xf numFmtId="0" fontId="1" fillId="0" borderId="0" applyFont="1" applyFill="0" applyBorder="0"/>
    <xf numFmtId="0" fontId="37" fillId="0" borderId="0" applyFont="1" applyFill="0" applyBorder="0"/>
    <xf numFmtId="49" fontId="0" fillId="0" borderId="0" applyFont="1" applyFill="0" applyBorder="0" applyNumberFormat="1">
      <alignment vertical="top"/>
    </xf>
    <xf numFmtId="0" fontId="38" fillId="0" borderId="0" applyFont="1" applyFill="0" applyBorder="0"/>
    <xf numFmtId="0" fontId="39" fillId="36" borderId="0" applyFont="1" applyFill="1" applyBorder="0">
      <alignment vertical="top"/>
    </xf>
    <xf numFmtId="49" fontId="39" fillId="0" borderId="0" applyFont="1" applyFill="0" applyBorder="0" applyNumberFormat="1">
      <alignment vertical="top"/>
    </xf>
    <xf numFmtId="0" fontId="22" fillId="0" borderId="0" applyFont="1" applyFill="0" applyBorder="0">
      <alignment wrapText="1"/>
    </xf>
    <xf numFmtId="49" fontId="23" fillId="36" borderId="0" applyFont="1" applyFill="1" applyBorder="0" applyNumberFormat="1">
      <alignment vertical="top"/>
    </xf>
    <xf numFmtId="49" fontId="0" fillId="37" borderId="0" applyFont="1" applyFill="1" applyBorder="0" applyNumberFormat="1">
      <alignment vertical="top"/>
    </xf>
  </cellStyleXfs>
  <cellXfs count="38143">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169"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0" fontId="20" fillId="0" borderId="0" xfId="49" applyFont="1" applyNumberFormat="1"/>
    <xf numFmtId="38" fontId="21" fillId="0" borderId="0" xfId="50" applyFont="1" applyNumberFormat="1">
      <alignment vertical="top"/>
    </xf>
    <xf numFmtId="0" fontId="22" fillId="0" borderId="10" xfId="51" applyFont="1" applyBorder="1">
      <alignment vertical="top"/>
      <protection locked="0"/>
    </xf>
    <xf numFmtId="171" fontId="23" fillId="33" borderId="0" xfId="52" applyFont="1" applyFill="1" applyNumberFormat="1">
      <protection locked="0"/>
    </xf>
    <xf numFmtId="0" fontId="24" fillId="0" borderId="0" xfId="53" applyFont="1">
      <alignment vertical="center"/>
    </xf>
    <xf numFmtId="164" fontId="23" fillId="33" borderId="0" xfId="54" applyFont="1" applyFill="1" applyNumberFormat="1">
      <protection locked="0"/>
    </xf>
    <xf numFmtId="166" fontId="23" fillId="33" borderId="0" xfId="55" applyFont="1" applyFill="1" applyNumberFormat="1">
      <protection locked="0"/>
    </xf>
    <xf numFmtId="0" fontId="25" fillId="0" borderId="0" xfId="56" applyFont="1">
      <alignment vertical="top"/>
    </xf>
    <xf numFmtId="0" fontId="22" fillId="34" borderId="10" xfId="57" applyFont="1" applyFill="1" applyBorder="1">
      <alignment vertical="top"/>
    </xf>
    <xf numFmtId="0" fontId="26" fillId="0" borderId="0" xfId="58" applyFont="1">
      <alignment vertical="top"/>
    </xf>
    <xf numFmtId="0" fontId="27" fillId="0" borderId="0" xfId="59" applyFont="1"/>
    <xf numFmtId="0" fontId="28" fillId="35" borderId="11" xfId="60" applyFont="1" applyFill="1" applyBorder="1">
      <alignment horizontal="center" vertical="center"/>
    </xf>
    <xf numFmtId="0" fontId="29" fillId="30" borderId="10" xfId="61" applyFont="1" applyFill="1" applyBorder="1">
      <alignment vertical="top"/>
    </xf>
    <xf numFmtId="0" fontId="30" fillId="0" borderId="0" xfId="62" applyFont="1">
      <alignment vertical="top"/>
    </xf>
    <xf numFmtId="0" fontId="31" fillId="0" borderId="0" xfId="63" applyFont="1">
      <alignment vertical="top"/>
    </xf>
    <xf numFmtId="0" fontId="32" fillId="0" borderId="0" xfId="64" applyFont="1">
      <alignment vertical="top"/>
    </xf>
    <xf numFmtId="0" fontId="33" fillId="0" borderId="0" xfId="65" applyFont="1">
      <alignment vertical="top"/>
    </xf>
    <xf numFmtId="0" fontId="34" fillId="0" borderId="0" xfId="66" applyFont="1">
      <alignment vertical="top"/>
    </xf>
    <xf numFmtId="0" fontId="35" fillId="0" borderId="0" xfId="67" applyFont="1">
      <alignment horizontal="center" vertical="center" wrapText="1"/>
    </xf>
    <xf numFmtId="0" fontId="36" fillId="0" borderId="0" xfId="68" applyFont="1">
      <alignment horizontal="center" vertical="center" wrapText="1"/>
    </xf>
    <xf numFmtId="4" fontId="23" fillId="33" borderId="0" xfId="69" applyFont="1" applyFill="1" applyNumberFormat="1">
      <alignment horizontal="right"/>
    </xf>
    <xf numFmtId="49" fontId="23" fillId="0" borderId="0" xfId="70" applyFont="1" applyNumberFormat="1">
      <alignment vertical="top"/>
    </xf>
    <xf numFmtId="0" fontId="1" fillId="0" borderId="0" xfId="71" applyFont="1"/>
    <xf numFmtId="0" fontId="37" fillId="0" borderId="0" xfId="72" applyFont="1"/>
    <xf numFmtId="49" fontId="0" fillId="0" borderId="0" xfId="73" applyFont="1" applyNumberFormat="1">
      <alignment vertical="top"/>
    </xf>
    <xf numFmtId="0" fontId="38" fillId="0" borderId="0" xfId="74" applyFont="1"/>
    <xf numFmtId="0" fontId="39" fillId="36" borderId="0" xfId="75" applyFont="1" applyFill="1">
      <alignment vertical="top"/>
    </xf>
    <xf numFmtId="49" fontId="39" fillId="0" borderId="0" xfId="76" applyFont="1" applyNumberFormat="1">
      <alignment vertical="top"/>
    </xf>
    <xf numFmtId="0" fontId="22" fillId="0" borderId="0" xfId="77" applyFont="1">
      <alignment wrapText="1"/>
    </xf>
    <xf numFmtId="49" fontId="23" fillId="36" borderId="0" xfId="78" applyFont="1" applyFill="1" applyNumberFormat="1">
      <alignment vertical="top"/>
    </xf>
    <xf numFmtId="49" fontId="0" fillId="37" borderId="0" xfId="79" applyFont="1" applyFill="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9"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73" applyFont="1" applyNumberFormat="1">
      <alignment vertical="top"/>
    </xf>
    <xf numFmtId="0" fontId="38" fillId="0" borderId="0" xfId="0" applyFont="1" applyNumberFormat="1"/>
    <xf numFmtId="0" fontId="39" fillId="36" borderId="0" xfId="75" applyFont="1" applyFill="1" applyNumberFormat="1">
      <alignment vertical="top"/>
    </xf>
    <xf numFmtId="0" fontId="22" fillId="0" borderId="0" xfId="0" applyFont="1" applyNumberFormat="1">
      <alignment wrapText="1"/>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9"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73" applyFont="1" applyNumberFormat="1">
      <alignment vertical="top"/>
    </xf>
    <xf numFmtId="0" fontId="38" fillId="0" borderId="0" xfId="0" applyFont="1" applyNumberFormat="1"/>
    <xf numFmtId="0" fontId="39" fillId="36" borderId="0" xfId="75" applyFont="1" applyFill="1" applyNumberFormat="1">
      <alignment vertical="top"/>
    </xf>
    <xf numFmtId="0" fontId="22" fillId="0" borderId="0" xfId="0" applyFont="1" applyNumberFormat="1">
      <alignment wrapText="1"/>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9"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73" applyFont="1" applyNumberFormat="1">
      <alignment vertical="top"/>
    </xf>
    <xf numFmtId="0" fontId="38" fillId="0" borderId="0" xfId="0" applyFont="1" applyNumberFormat="1"/>
    <xf numFmtId="0" fontId="39" fillId="36" borderId="0" xfId="75" applyFont="1" applyFill="1" applyNumberFormat="1">
      <alignment vertical="top"/>
    </xf>
    <xf numFmtId="0" fontId="22" fillId="0" borderId="0" xfId="0" applyFont="1" applyNumberFormat="1">
      <alignment wrapText="1"/>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9"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73" applyFont="1" applyNumberFormat="1">
      <alignment vertical="top"/>
    </xf>
    <xf numFmtId="0" fontId="38" fillId="0" borderId="0" xfId="0" applyFont="1" applyNumberFormat="1"/>
    <xf numFmtId="0" fontId="39" fillId="36" borderId="0" xfId="75" applyFont="1" applyFill="1" applyNumberFormat="1">
      <alignment vertical="top"/>
    </xf>
    <xf numFmtId="0" fontId="22" fillId="0" borderId="0" xfId="0" applyFont="1" applyNumberFormat="1">
      <alignment wrapText="1"/>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9"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73" applyFont="1" applyNumberFormat="1">
      <alignment vertical="top"/>
    </xf>
    <xf numFmtId="0" fontId="38" fillId="0" borderId="0" xfId="0" applyFont="1" applyNumberFormat="1"/>
    <xf numFmtId="0" fontId="39" fillId="36" borderId="0" xfId="75" applyFont="1" applyFill="1" applyNumberFormat="1">
      <alignment vertical="top"/>
    </xf>
    <xf numFmtId="0" fontId="22" fillId="0" borderId="0" xfId="0" applyFont="1" applyNumberFormat="1">
      <alignment wrapText="1"/>
    </xf>
    <xf numFmtId="0" fontId="23" fillId="0" borderId="0" xfId="0" applyFont="1" applyNumberFormat="1">
      <alignment vertical="top" wrapText="1"/>
    </xf>
    <xf numFmtId="49" fontId="0" fillId="0" borderId="0" xfId="0" applyFont="1" applyNumberFormat="1">
      <alignment vertical="top"/>
    </xf>
    <xf numFmtId="49" fontId="23" fillId="38" borderId="12" xfId="0" applyFont="1" applyFill="1" applyBorder="1" applyNumberFormat="1">
      <alignment horizontal="center" vertical="top"/>
    </xf>
    <xf numFmtId="49" fontId="0" fillId="0" borderId="0" xfId="0" applyFont="1" applyNumberFormat="1">
      <alignment vertical="top"/>
    </xf>
    <xf numFmtId="0" fontId="23" fillId="0" borderId="0" xfId="0" applyFont="1" applyNumberFormat="1"/>
    <xf numFmtId="0" fontId="23" fillId="37" borderId="0" xfId="0" applyFont="1" applyFill="1" applyNumberFormat="1"/>
    <xf numFmtId="0" fontId="40" fillId="0" borderId="0" xfId="0" applyFont="1" applyNumberFormat="1">
      <alignment vertical="center" wrapText="1"/>
    </xf>
    <xf numFmtId="0" fontId="41" fillId="0" borderId="0" xfId="0" applyFont="1" applyNumberFormat="1">
      <alignment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42" fillId="37" borderId="0" xfId="0" applyFont="1" applyFill="1" applyNumberFormat="1">
      <alignment vertical="center" wrapText="1"/>
    </xf>
    <xf numFmtId="0" fontId="23" fillId="37" borderId="0" xfId="0" applyFont="1" applyFill="1" applyNumberFormat="1">
      <alignment horizontal="right" vertical="center" wrapText="1" indent="1"/>
    </xf>
    <xf numFmtId="0" fontId="23" fillId="37" borderId="0" xfId="0" applyFont="1" applyFill="1" applyNumberFormat="1">
      <alignment horizontal="center" vertical="center" wrapText="1"/>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0" fontId="23" fillId="0" borderId="0" xfId="0" applyFont="1" applyNumberFormat="1">
      <alignment vertical="center"/>
    </xf>
    <xf numFmtId="49" fontId="23" fillId="37" borderId="0" xfId="0" applyFont="1" applyFill="1" applyNumberFormat="1">
      <alignment horizontal="right" vertical="center" wrapText="1" indent="1"/>
    </xf>
    <xf numFmtId="49" fontId="42" fillId="37" borderId="0" xfId="0" applyFont="1" applyFill="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49" fontId="0" fillId="37" borderId="0" xfId="0" applyFont="1" applyFill="1" applyNumberFormat="1">
      <alignment horizontal="right" vertical="center" wrapText="1" indent="1"/>
    </xf>
    <xf numFmtId="49" fontId="44" fillId="37"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45" fillId="37" borderId="0" xfId="0" applyFont="1" applyFill="1" applyNumberFormat="1">
      <alignment horizontal="center" vertical="center" wrapText="1"/>
    </xf>
    <xf numFmtId="0" fontId="45" fillId="0" borderId="0" xfId="0" applyFont="1" applyNumberFormat="1">
      <alignment horizontal="center" vertical="center"/>
    </xf>
    <xf numFmtId="0" fontId="45" fillId="37" borderId="0" xfId="0" applyFont="1" applyFill="1" applyNumberFormat="1">
      <alignment horizontal="center" vertical="center"/>
    </xf>
    <xf numFmtId="49" fontId="46" fillId="0" borderId="13" xfId="0" applyFont="1" applyBorder="1" applyNumberFormat="1">
      <alignment vertical="top" wrapText="1"/>
    </xf>
    <xf numFmtId="0" fontId="0" fillId="0" borderId="13" xfId="0" applyFont="1" applyBorder="1" applyNumberFormat="1">
      <alignment vertical="top" wrapText="1"/>
    </xf>
    <xf numFmtId="0" fontId="38" fillId="0" borderId="0" xfId="0" applyFont="1" applyNumberFormat="1"/>
    <xf numFmtId="0" fontId="23" fillId="37" borderId="0" xfId="0" applyFont="1" applyFill="1" applyNumberFormat="1">
      <alignment horizontal="center" vertical="center" wrapText="1"/>
    </xf>
    <xf numFmtId="0" fontId="47" fillId="37" borderId="0" xfId="0" applyFont="1" applyFill="1" applyNumberFormat="1">
      <alignment vertical="center" wrapText="1"/>
    </xf>
    <xf numFmtId="0" fontId="47" fillId="0" borderId="0" xfId="0" applyFont="1" applyNumberFormat="1">
      <alignment vertical="center" wrapText="1"/>
    </xf>
    <xf numFmtId="0" fontId="40" fillId="0" borderId="0" xfId="0" applyFont="1" applyNumberFormat="1">
      <alignment horizontal="left" vertical="center" wrapText="1"/>
    </xf>
    <xf numFmtId="49" fontId="40" fillId="0" borderId="0" xfId="0" applyFont="1" applyNumberFormat="1">
      <alignment horizontal="left" vertical="center" wrapText="1"/>
    </xf>
    <xf numFmtId="0" fontId="0" fillId="0" borderId="0" xfId="0" applyFont="1" applyNumberFormat="1">
      <alignment vertical="top"/>
    </xf>
    <xf numFmtId="49" fontId="23"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0" fillId="0" borderId="0" xfId="0" applyFont="1" applyNumberFormat="1">
      <alignment vertical="center"/>
    </xf>
    <xf numFmtId="0" fontId="23" fillId="37" borderId="14" xfId="0" applyFont="1" applyFill="1" applyBorder="1" applyNumberFormat="1">
      <alignment horizontal="center" vertical="center" wrapText="1"/>
    </xf>
    <xf numFmtId="49" fontId="23" fillId="39" borderId="14" xfId="0" applyFont="1" applyFill="1" applyBorder="1" applyNumberFormat="1">
      <alignment horizontal="left" vertical="center" wrapText="1"/>
      <protection locked="0"/>
    </xf>
    <xf numFmtId="49" fontId="48" fillId="40" borderId="15" xfId="0" applyFont="1" applyFill="1" applyBorder="1" applyNumberFormat="1">
      <alignment horizontal="left" vertical="center"/>
    </xf>
    <xf numFmtId="0" fontId="0" fillId="0" borderId="14"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4" xfId="0" applyFont="1" applyBorder="1" applyNumberFormat="1">
      <alignment horizontal="center" vertical="center" wrapText="1"/>
    </xf>
    <xf numFmtId="0" fontId="49" fillId="0" borderId="0" xfId="0" applyFont="1" applyNumberFormat="1">
      <alignment vertical="center"/>
    </xf>
    <xf numFmtId="49" fontId="23" fillId="0" borderId="14" xfId="0" applyFont="1" applyBorder="1" applyNumberFormat="1">
      <alignment horizontal="center" vertical="center" wrapText="1"/>
    </xf>
    <xf numFmtId="0" fontId="23" fillId="37" borderId="14" xfId="0" applyFont="1" applyFill="1" applyBorder="1" applyNumberFormat="1">
      <alignment horizontal="center" vertical="center"/>
    </xf>
    <xf numFmtId="49" fontId="23" fillId="39" borderId="14" xfId="0" applyFont="1" applyFill="1" applyBorder="1" applyNumberFormat="1">
      <alignment horizontal="left" vertical="center" wrapText="1"/>
      <protection locked="0"/>
    </xf>
    <xf numFmtId="0" fontId="40" fillId="0" borderId="0" xfId="0" applyFont="1" applyNumberFormat="1">
      <alignment vertical="center" wrapText="1"/>
    </xf>
    <xf numFmtId="0" fontId="50" fillId="0" borderId="0" xfId="0" applyFont="1" applyNumberFormat="1">
      <alignment vertical="center" wrapText="1"/>
    </xf>
    <xf numFmtId="49" fontId="23" fillId="0" borderId="0" xfId="0" applyFont="1" applyNumberFormat="1">
      <alignment vertical="top"/>
    </xf>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49" fontId="23" fillId="0" borderId="0" xfId="0" applyFont="1" applyNumberFormat="1">
      <alignment vertical="top"/>
    </xf>
    <xf numFmtId="0" fontId="23" fillId="37" borderId="0" xfId="0" applyFont="1" applyFill="1" applyNumberFormat="1"/>
    <xf numFmtId="0" fontId="51" fillId="37" borderId="0" xfId="0" applyFont="1" applyFill="1" applyNumberFormat="1">
      <alignment horizontal="center" vertical="center" wrapText="1"/>
    </xf>
    <xf numFmtId="0" fontId="40" fillId="37" borderId="0" xfId="0" applyFont="1" applyFill="1" applyNumberFormat="1"/>
    <xf numFmtId="49" fontId="23" fillId="0" borderId="0" xfId="0" applyFont="1" applyNumberFormat="1">
      <alignment vertical="top"/>
    </xf>
    <xf numFmtId="49" fontId="45" fillId="0" borderId="0" xfId="0" applyFont="1" applyNumberFormat="1">
      <alignment horizontal="center" vertical="center" wrapText="1"/>
    </xf>
    <xf numFmtId="0" fontId="23"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52" fillId="40" borderId="17" xfId="0" applyFont="1" applyFill="1" applyBorder="1" applyNumberFormat="1">
      <alignment horizontal="center" vertical="top"/>
    </xf>
    <xf numFmtId="49" fontId="48" fillId="40" borderId="17" xfId="0" applyFont="1" applyFill="1" applyBorder="1" applyNumberFormat="1">
      <alignment horizontal="left" vertical="center"/>
    </xf>
    <xf numFmtId="49" fontId="23" fillId="0" borderId="0" xfId="0" applyFont="1" applyNumberFormat="1">
      <alignment horizontal="center" vertical="top"/>
    </xf>
    <xf numFmtId="0" fontId="49" fillId="0" borderId="0" xfId="0" applyFont="1" applyNumberFormat="1">
      <alignment vertical="center"/>
    </xf>
    <xf numFmtId="0" fontId="0" fillId="0" borderId="0" xfId="0" applyFont="1" applyNumberFormat="1">
      <alignment horizontal="center" vertical="center" wrapText="1"/>
    </xf>
    <xf numFmtId="49" fontId="23" fillId="0" borderId="0" xfId="0" applyFont="1" applyNumberFormat="1">
      <alignment horizontal="center" vertical="center" wrapText="1"/>
    </xf>
    <xf numFmtId="49" fontId="23" fillId="0" borderId="0" xfId="0" applyFont="1" applyNumberFormat="1">
      <alignment vertical="center" wrapText="1"/>
    </xf>
    <xf numFmtId="0" fontId="45" fillId="37" borderId="0" xfId="0" applyFont="1" applyFill="1" applyNumberFormat="1">
      <alignment horizontal="center" vertical="center" wrapText="1"/>
    </xf>
    <xf numFmtId="49" fontId="53" fillId="0" borderId="0" xfId="0" applyFont="1" applyNumberFormat="1">
      <alignment horizontal="right" vertical="top"/>
    </xf>
    <xf numFmtId="49" fontId="53" fillId="0" borderId="0" xfId="0" applyFont="1" applyNumberFormat="1">
      <alignment vertical="top"/>
    </xf>
    <xf numFmtId="0" fontId="23" fillId="0" borderId="0" xfId="0" applyFont="1" applyNumberFormat="1">
      <alignment horizontal="center" vertical="center" wrapText="1"/>
    </xf>
    <xf numFmtId="49" fontId="23" fillId="0" borderId="0" xfId="0" applyFont="1" applyNumberFormat="1">
      <alignment vertical="top"/>
    </xf>
    <xf numFmtId="0" fontId="0" fillId="0" borderId="0" xfId="0" applyFont="1" applyNumberFormat="1">
      <alignment vertical="center"/>
    </xf>
    <xf numFmtId="0" fontId="22" fillId="0" borderId="0" xfId="0" applyFont="1" applyNumberFormat="1">
      <alignment vertical="center" wrapText="1"/>
    </xf>
    <xf numFmtId="49" fontId="23" fillId="0" borderId="18" xfId="0" applyFont="1" applyBorder="1" applyNumberFormat="1">
      <alignment vertical="top"/>
    </xf>
    <xf numFmtId="0" fontId="38" fillId="0" borderId="0" xfId="0" applyFont="1" applyNumberFormat="1"/>
    <xf numFmtId="49" fontId="54" fillId="0" borderId="0" xfId="0" applyFont="1" applyNumberFormat="1">
      <alignment vertical="top"/>
    </xf>
    <xf numFmtId="0" fontId="54" fillId="0" borderId="0" xfId="0" applyFont="1" applyNumberFormat="1">
      <alignment vertical="center" wrapText="1"/>
    </xf>
    <xf numFmtId="49" fontId="0" fillId="37" borderId="14" xfId="0" applyFont="1" applyFill="1" applyBorder="1" applyNumberFormat="1">
      <alignment horizontal="center" vertical="center" wrapText="1"/>
    </xf>
    <xf numFmtId="0" fontId="40" fillId="0" borderId="0" xfId="0" applyFont="1" applyNumberFormat="1">
      <alignment horizontal="left" vertical="center" wrapText="1"/>
    </xf>
    <xf numFmtId="49" fontId="23" fillId="0" borderId="14" xfId="0" applyFont="1" applyBorder="1" applyNumberFormat="1">
      <alignment horizontal="left" vertical="center" wrapText="1"/>
    </xf>
    <xf numFmtId="0" fontId="23" fillId="37" borderId="19" xfId="0" applyFont="1" applyFill="1" applyBorder="1" applyNumberFormat="1">
      <alignment horizontal="center" vertical="center"/>
    </xf>
    <xf numFmtId="0" fontId="23" fillId="0" borderId="14" xfId="0" applyFont="1" applyBorder="1" applyNumberFormat="1">
      <alignment vertical="center" wrapText="1"/>
    </xf>
    <xf numFmtId="0" fontId="55" fillId="0" borderId="0" xfId="0" applyFont="1" applyNumberFormat="1">
      <alignment vertical="center" wrapText="1"/>
    </xf>
    <xf numFmtId="0" fontId="55" fillId="0" borderId="0" xfId="0" applyFont="1" applyNumberFormat="1">
      <alignment vertical="center"/>
    </xf>
    <xf numFmtId="0" fontId="56" fillId="0" borderId="0" xfId="0" applyFont="1" applyNumberFormat="1">
      <alignment vertical="center"/>
    </xf>
    <xf numFmtId="0" fontId="55"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top" wrapText="1"/>
    </xf>
    <xf numFmtId="49" fontId="23" fillId="0" borderId="14" xfId="0" applyFont="1" applyBorder="1" applyNumberFormat="1">
      <alignment horizontal="center" vertical="center" wrapText="1"/>
    </xf>
    <xf numFmtId="0" fontId="22" fillId="0" borderId="20" xfId="0" applyFont="1" applyBorder="1" applyNumberFormat="1">
      <alignment vertical="top" wrapText="1"/>
    </xf>
    <xf numFmtId="49" fontId="0" fillId="0" borderId="14" xfId="0" applyFont="1" applyBorder="1" applyNumberFormat="1">
      <alignment vertical="top" wrapText="1"/>
    </xf>
    <xf numFmtId="0" fontId="0" fillId="0" borderId="14" xfId="0" applyFont="1" applyBorder="1" applyNumberFormat="1">
      <alignment vertical="top" wrapText="1"/>
    </xf>
    <xf numFmtId="0" fontId="1" fillId="0" borderId="0" xfId="0" applyFont="1" applyNumberFormat="1"/>
    <xf numFmtId="0" fontId="0" fillId="0" borderId="0" xfId="0" applyFont="1" applyNumberFormat="1"/>
    <xf numFmtId="0" fontId="45" fillId="0" borderId="0" xfId="0" applyFont="1" applyNumberFormat="1">
      <alignment horizontal="center" vertical="center" wrapText="1"/>
    </xf>
    <xf numFmtId="0" fontId="45" fillId="0" borderId="0" xfId="0" applyFont="1" applyNumberFormat="1">
      <alignment horizontal="center" vertical="center" wrapText="1"/>
    </xf>
    <xf numFmtId="0" fontId="23" fillId="0" borderId="0" xfId="0" applyFont="1" applyNumberFormat="1">
      <alignment horizontal="right" vertical="center" wrapTex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 fontId="23" fillId="0" borderId="0" xfId="0" applyFont="1" applyNumberFormat="1">
      <alignment horizontal="center" vertical="center" wrapText="1"/>
    </xf>
    <xf numFmtId="0" fontId="54" fillId="0" borderId="0" xfId="0" applyFont="1" applyNumberFormat="1">
      <alignment vertical="center"/>
    </xf>
    <xf numFmtId="165" fontId="23" fillId="0" borderId="14" xfId="0" applyFont="1" applyBorder="1" applyNumberFormat="1">
      <alignment horizontal="center" vertical="center" wrapText="1"/>
    </xf>
    <xf numFmtId="49" fontId="54" fillId="40" borderId="21" xfId="0" applyFont="1" applyFill="1" applyBorder="1" applyNumberFormat="1">
      <alignment horizontal="left" vertical="center" wrapText="1"/>
    </xf>
    <xf numFmtId="49" fontId="0" fillId="40" borderId="17" xfId="0" applyFont="1" applyFill="1" applyBorder="1" applyNumberFormat="1">
      <alignment horizontal="left" vertical="center"/>
    </xf>
    <xf numFmtId="49" fontId="54" fillId="40" borderId="22" xfId="0" applyFont="1" applyFill="1" applyBorder="1" applyNumberFormat="1">
      <alignment horizontal="left" vertical="center" wrapText="1"/>
    </xf>
    <xf numFmtId="0" fontId="44" fillId="0" borderId="0" xfId="0" applyFont="1" applyNumberFormat="1">
      <alignment horizontal="center" vertical="center" wrapText="1"/>
    </xf>
    <xf numFmtId="49" fontId="36" fillId="40" borderId="17"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23" fillId="40" borderId="15" xfId="0" applyFont="1" applyFill="1" applyBorder="1" applyNumberFormat="1">
      <alignment horizontal="right" vertical="center" wrapText="1"/>
    </xf>
    <xf numFmtId="0" fontId="23" fillId="0" borderId="23" xfId="0" applyFont="1" applyBorder="1" applyNumberFormat="1">
      <alignment vertical="center" wrapText="1"/>
    </xf>
    <xf numFmtId="0" fontId="53" fillId="0" borderId="0" xfId="0" applyFont="1" applyNumberFormat="1">
      <alignment vertical="center" wrapText="1"/>
    </xf>
    <xf numFmtId="0" fontId="57" fillId="0" borderId="0" xfId="0" applyFont="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54" fillId="0" borderId="0" xfId="0" applyFont="1" applyNumberFormat="1">
      <alignment vertical="center"/>
    </xf>
    <xf numFmtId="49" fontId="0" fillId="40" borderId="17" xfId="0" applyFont="1" applyFill="1" applyBorder="1" applyNumberFormat="1">
      <alignment horizontal="right" vertical="center" wrapText="1"/>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49" fontId="23" fillId="0" borderId="0" xfId="0" applyFont="1" applyNumberFormat="1">
      <alignment vertical="top"/>
    </xf>
    <xf numFmtId="0" fontId="23" fillId="37" borderId="0" xfId="0" applyFont="1" applyFill="1" applyNumberFormat="1">
      <alignment horizontal="right" vertical="center"/>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55" fillId="0" borderId="0" xfId="0" applyFont="1" applyNumberFormat="1">
      <alignment vertical="top"/>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0" fillId="42" borderId="14" xfId="0" applyFont="1" applyFill="1" applyBorder="1" applyNumberFormat="1">
      <alignment horizontal="left" vertical="center" wrapText="1" indent="1"/>
      <protection locked="0"/>
    </xf>
    <xf numFmtId="49" fontId="48" fillId="40" borderId="17" xfId="0" applyFont="1" applyFill="1" applyBorder="1" applyNumberFormat="1">
      <alignment horizontal="left" vertical="center" indent="3"/>
    </xf>
    <xf numFmtId="49" fontId="52" fillId="40" borderId="15" xfId="0" applyFont="1" applyFill="1" applyBorder="1" applyNumberFormat="1">
      <alignment horizontal="center" vertical="top"/>
    </xf>
    <xf numFmtId="0" fontId="22" fillId="0" borderId="0" xfId="0" applyFont="1" applyNumberFormat="1">
      <alignment horizontal="right" vertical="top" wrapText="1"/>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indent="2"/>
    </xf>
    <xf numFmtId="0" fontId="0" fillId="0" borderId="14" xfId="0" applyFont="1" applyBorder="1" applyNumberFormat="1">
      <alignment horizontal="left" vertical="center" wrapText="1" indent="1"/>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23" fillId="0" borderId="14" xfId="0" applyFont="1" applyBorder="1" applyNumberFormat="1">
      <alignment vertical="top" wrapText="1"/>
    </xf>
    <xf numFmtId="0" fontId="45" fillId="0" borderId="0" xfId="0" applyFont="1" applyNumberFormat="1">
      <alignment horizontal="center" vertical="center" wrapText="1"/>
    </xf>
    <xf numFmtId="49" fontId="0" fillId="0" borderId="19" xfId="0" applyFont="1" applyBorder="1" applyNumberFormat="1">
      <alignment vertical="top"/>
    </xf>
    <xf numFmtId="0" fontId="55" fillId="0" borderId="0" xfId="0" applyFont="1" applyNumberFormat="1">
      <alignment vertical="center"/>
    </xf>
    <xf numFmtId="0" fontId="37" fillId="0" borderId="0" xfId="0" applyFont="1" applyNumberFormat="1">
      <alignment vertical="center"/>
    </xf>
    <xf numFmtId="49" fontId="34" fillId="42" borderId="14" xfId="0" applyFont="1" applyFill="1" applyBorder="1" applyNumberFormat="1">
      <alignment horizontal="left" vertical="center" wrapText="1"/>
      <protection locked="0"/>
    </xf>
    <xf numFmtId="49" fontId="52" fillId="40" borderId="15" xfId="0" applyFont="1" applyFill="1" applyBorder="1" applyNumberFormat="1">
      <alignment horizontal="center" vertical="top"/>
    </xf>
    <xf numFmtId="0" fontId="0" fillId="38" borderId="14" xfId="0" applyFont="1" applyFill="1" applyBorder="1" applyNumberFormat="1">
      <alignment horizontal="left" vertical="center" wrapText="1" indent="1"/>
    </xf>
    <xf numFmtId="49" fontId="23" fillId="42" borderId="14" xfId="0" applyFont="1" applyFill="1" applyBorder="1" applyNumberFormat="1">
      <alignment horizontal="left" vertical="center" wrapText="1" indent="1"/>
      <protection locked="0"/>
    </xf>
    <xf numFmtId="49" fontId="23" fillId="38" borderId="14" xfId="0" applyFont="1" applyFill="1" applyBorder="1" applyNumberFormat="1">
      <alignment horizontal="left" vertical="center" wrapText="1" indent="1"/>
    </xf>
    <xf numFmtId="49" fontId="23" fillId="0" borderId="14" xfId="0" applyFont="1" applyBorder="1" applyNumberFormat="1">
      <alignment horizontal="left" vertical="center" wrapText="1" indent="1"/>
    </xf>
    <xf numFmtId="0" fontId="23" fillId="0" borderId="14" xfId="0" applyFont="1" applyBorder="1" applyNumberFormat="1">
      <alignment horizontal="center" vertical="center" wrapText="1"/>
    </xf>
    <xf numFmtId="0" fontId="22" fillId="0" borderId="0" xfId="0" applyFont="1" applyNumberFormat="1">
      <alignment vertical="center" wrapText="1"/>
    </xf>
    <xf numFmtId="0" fontId="55" fillId="0" borderId="0" xfId="0" applyFont="1" applyNumberFormat="1">
      <alignment horizontal="center" vertical="center" wrapText="1"/>
    </xf>
    <xf numFmtId="0" fontId="0" fillId="0" borderId="14" xfId="0" applyFont="1" applyBorder="1" applyNumberFormat="1">
      <alignment horizontal="left" vertical="center" wrapText="1"/>
    </xf>
    <xf numFmtId="49" fontId="44" fillId="0" borderId="17" xfId="0" applyFont="1" applyBorder="1" applyNumberFormat="1">
      <alignment horizontal="center" vertical="center" wrapText="1"/>
    </xf>
    <xf numFmtId="0" fontId="59" fillId="0" borderId="0" xfId="0" applyFont="1" applyNumberFormat="1">
      <alignment vertical="center"/>
    </xf>
    <xf numFmtId="0" fontId="60" fillId="0" borderId="0" xfId="0" applyFont="1" applyNumberFormat="1">
      <alignment vertical="center"/>
    </xf>
    <xf numFmtId="0" fontId="55" fillId="0" borderId="0" xfId="0" applyFont="1" applyNumberFormat="1">
      <alignment vertical="center"/>
    </xf>
    <xf numFmtId="0" fontId="55"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61"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65"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68" fillId="0" borderId="0" xfId="0" applyFont="1" applyNumberFormat="1">
      <alignment horizontal="left" vertical="center" wrapText="1"/>
    </xf>
    <xf numFmtId="0" fontId="68" fillId="0" borderId="0" xfId="0" applyFont="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49" fontId="23" fillId="0" borderId="0" xfId="0" applyFont="1" applyNumberFormat="1">
      <alignment vertical="center" wrapText="1"/>
    </xf>
    <xf numFmtId="0" fontId="0" fillId="0" borderId="0" xfId="0" applyFont="1" applyNumberFormat="1">
      <alignment horizontal="left" vertical="center" indent="1"/>
    </xf>
    <xf numFmtId="0" fontId="55" fillId="0" borderId="0" xfId="0" applyFont="1" applyNumberFormat="1">
      <alignment horizontal="left" vertical="center" indent="1"/>
    </xf>
    <xf numFmtId="0" fontId="55" fillId="0" borderId="0" xfId="0" applyFont="1" applyNumberFormat="1">
      <alignment horizontal="left" vertical="center" indent="1"/>
    </xf>
    <xf numFmtId="0" fontId="55" fillId="0" borderId="24" xfId="0" applyFont="1" applyBorder="1" applyNumberFormat="1">
      <alignment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0" xfId="0" applyFont="1" applyNumberFormat="1">
      <alignment vertical="top"/>
    </xf>
    <xf numFmtId="0" fontId="23" fillId="0" borderId="0" xfId="0" applyFont="1" applyNumberFormat="1">
      <alignment horizontal="left" vertical="center" wrapText="1" indent="2"/>
    </xf>
    <xf numFmtId="0" fontId="23" fillId="0" borderId="14" xfId="0" applyFont="1" applyBorder="1" applyNumberFormat="1">
      <alignment vertical="top" wrapText="1"/>
    </xf>
    <xf numFmtId="0" fontId="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9" fontId="23" fillId="0" borderId="19" xfId="0" applyFont="1" applyBorder="1" applyNumberFormat="1">
      <alignment horizontal="left" vertical="center" wrapText="1"/>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0" fontId="23" fillId="0" borderId="0" xfId="0" applyFont="1" applyNumberFormat="1"/>
    <xf numFmtId="0" fontId="69" fillId="0" borderId="0" xfId="0" applyFont="1" applyNumberFormat="1">
      <alignment vertical="center" wrapText="1"/>
    </xf>
    <xf numFmtId="0" fontId="69" fillId="0" borderId="0" xfId="0" applyFont="1" applyNumberFormat="1">
      <alignment vertical="center" wrapText="1"/>
    </xf>
    <xf numFmtId="0" fontId="69" fillId="0" borderId="0" xfId="0" applyFont="1" applyNumberFormat="1"/>
    <xf numFmtId="49" fontId="70" fillId="0" borderId="0" xfId="0" applyFont="1" applyNumberFormat="1">
      <alignment vertical="top"/>
    </xf>
    <xf numFmtId="49" fontId="71" fillId="0" borderId="0" xfId="0" applyFont="1" applyNumberFormat="1">
      <alignment vertical="top"/>
    </xf>
    <xf numFmtId="0" fontId="23" fillId="0" borderId="0" xfId="0" applyFont="1" applyNumberFormat="1">
      <alignment horizontal="center" vertical="center" wrapText="1"/>
    </xf>
    <xf numFmtId="49" fontId="23" fillId="42" borderId="14" xfId="0" applyFont="1" applyFill="1" applyBorder="1" applyNumberFormat="1">
      <alignment horizontal="left" vertical="center" wrapText="1" indent="1"/>
      <protection locked="0"/>
    </xf>
    <xf numFmtId="0" fontId="55" fillId="0" borderId="0" xfId="0" applyFont="1" applyNumberFormat="1">
      <alignment vertical="top"/>
    </xf>
    <xf numFmtId="49" fontId="55" fillId="0" borderId="0" xfId="0" applyFont="1" applyNumberFormat="1">
      <alignment vertical="top"/>
    </xf>
    <xf numFmtId="0" fontId="0" fillId="0" borderId="0" xfId="0" applyFont="1" applyNumberFormat="1">
      <alignment vertical="top"/>
    </xf>
    <xf numFmtId="49" fontId="23" fillId="0" borderId="14" xfId="0" applyFont="1" applyBorder="1" applyNumberFormat="1">
      <alignment horizontal="right" vertical="center"/>
    </xf>
    <xf numFmtId="0" fontId="72" fillId="0" borderId="0" xfId="0" applyFont="1" applyNumberFormat="1">
      <alignment vertical="center"/>
    </xf>
    <xf numFmtId="0" fontId="55" fillId="0" borderId="0" xfId="0" applyFont="1" applyNumberFormat="1">
      <alignment vertical="center"/>
    </xf>
    <xf numFmtId="0" fontId="55" fillId="0" borderId="0" xfId="0" applyFont="1" applyNumberFormat="1">
      <alignment vertical="center" wrapText="1"/>
    </xf>
    <xf numFmtId="0" fontId="23" fillId="0" borderId="14" xfId="0" applyFont="1" applyBorder="1" applyNumberFormat="1">
      <alignment horizontal="left" vertical="center" wrapText="1"/>
    </xf>
    <xf numFmtId="0" fontId="73" fillId="0" borderId="0" xfId="0" applyFont="1" applyNumberFormat="1">
      <alignment vertical="center"/>
    </xf>
    <xf numFmtId="49" fontId="44" fillId="37" borderId="0" xfId="0" applyFont="1" applyFill="1" applyNumberFormat="1">
      <alignment horizontal="center" vertical="center" wrapText="1"/>
    </xf>
    <xf numFmtId="0" fontId="0" fillId="0" borderId="0" xfId="0" applyFont="1" applyNumberFormat="1">
      <alignment vertical="center"/>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37" borderId="14" xfId="0" applyFont="1" applyFill="1" applyBorder="1" applyNumberFormat="1">
      <alignment horizontal="left" vertical="center" wrapText="1" indent="5"/>
    </xf>
    <xf numFmtId="49" fontId="48" fillId="40" borderId="17" xfId="0" applyFont="1" applyFill="1" applyBorder="1" applyNumberFormat="1">
      <alignment horizontal="left" vertical="center" indent="5"/>
    </xf>
    <xf numFmtId="49" fontId="48" fillId="40" borderId="17" xfId="0" applyFont="1" applyFill="1" applyBorder="1" applyNumberFormat="1">
      <alignment horizontal="left" vertical="center" indent="6"/>
    </xf>
    <xf numFmtId="0" fontId="23" fillId="0" borderId="14" xfId="0" applyFont="1" applyBorder="1" applyNumberFormat="1">
      <alignment vertical="center" wrapText="1"/>
    </xf>
    <xf numFmtId="0" fontId="22" fillId="0" borderId="0" xfId="0" applyFont="1" applyNumberFormat="1">
      <alignment vertical="center" wrapText="1"/>
    </xf>
    <xf numFmtId="0" fontId="74" fillId="37" borderId="0" xfId="0" applyFont="1" applyFill="1" applyNumberFormat="1">
      <alignment vertical="center" wrapText="1"/>
    </xf>
    <xf numFmtId="49" fontId="23" fillId="0" borderId="14" xfId="0" applyFont="1" applyBorder="1" applyNumberFormat="1">
      <alignment horizontal="center" vertical="center" wrapText="1"/>
    </xf>
    <xf numFmtId="49" fontId="0" fillId="0" borderId="0" xfId="0" applyFont="1" applyNumberFormat="1">
      <alignment vertical="top"/>
    </xf>
    <xf numFmtId="49" fontId="48" fillId="40" borderId="16" xfId="0" applyFont="1" applyFill="1" applyBorder="1" applyNumberFormat="1">
      <alignment horizontal="left" vertical="center" indent="1"/>
    </xf>
    <xf numFmtId="0" fontId="0" fillId="37" borderId="14" xfId="0" applyFont="1" applyFill="1" applyBorder="1" applyNumberFormat="1">
      <alignment horizontal="right" vertical="center" wrapText="1" indent="1"/>
    </xf>
    <xf numFmtId="49" fontId="0" fillId="0" borderId="14" xfId="0" applyFont="1" applyBorder="1" applyNumberFormat="1">
      <alignment horizontal="left" vertical="center"/>
    </xf>
    <xf numFmtId="0" fontId="23" fillId="0" borderId="14" xfId="0" applyFont="1" applyBorder="1" applyNumberFormat="1">
      <alignment vertical="top" wrapText="1"/>
    </xf>
    <xf numFmtId="0" fontId="23" fillId="0" borderId="14" xfId="0" applyFont="1" applyBorder="1" applyNumberFormat="1">
      <alignment vertical="center" wrapText="1"/>
    </xf>
    <xf numFmtId="0" fontId="72" fillId="0" borderId="0" xfId="0" applyFont="1" applyNumberFormat="1">
      <alignment vertical="center"/>
    </xf>
    <xf numFmtId="0" fontId="23" fillId="0" borderId="14" xfId="0" applyFont="1" applyBorder="1" applyNumberFormat="1">
      <alignment horizontal="left" vertical="center" wrapText="1" indent="6"/>
    </xf>
    <xf numFmtId="0" fontId="23" fillId="0" borderId="19" xfId="0" applyFont="1" applyBorder="1" applyNumberFormat="1">
      <alignment vertical="center" wrapText="1"/>
    </xf>
    <xf numFmtId="0" fontId="23" fillId="0" borderId="25" xfId="0" applyFont="1" applyBorder="1" applyNumberFormat="1">
      <alignment vertical="center" wrapText="1"/>
    </xf>
    <xf numFmtId="49" fontId="0" fillId="40" borderId="15" xfId="0" applyFont="1" applyFill="1" applyBorder="1" applyNumberFormat="1">
      <alignment horizontal="center" vertical="center" wrapText="1"/>
    </xf>
    <xf numFmtId="0" fontId="0" fillId="0" borderId="16" xfId="0" applyFont="1" applyBorder="1" applyNumberFormat="1">
      <alignment vertical="center"/>
    </xf>
    <xf numFmtId="0" fontId="0" fillId="37" borderId="16" xfId="0" applyFont="1" applyFill="1" applyBorder="1" applyNumberFormat="1">
      <alignment horizontal="right" vertical="center" wrapText="1" indent="1"/>
    </xf>
    <xf numFmtId="49" fontId="40" fillId="0" borderId="0" xfId="0" applyFont="1" applyNumberFormat="1">
      <alignment vertical="top"/>
    </xf>
    <xf numFmtId="0" fontId="47" fillId="37" borderId="0" xfId="0" applyFont="1" applyFill="1" applyNumberFormat="1">
      <alignment vertical="center" wrapText="1"/>
    </xf>
    <xf numFmtId="0" fontId="23" fillId="37" borderId="14" xfId="0" applyFont="1" applyFill="1" applyBorder="1" applyNumberFormat="1">
      <alignment horizontal="left" vertical="center" wrapText="1" inden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23" fillId="0" borderId="14" xfId="0" applyFont="1" applyBorder="1" applyNumberFormat="1">
      <alignment horizontal="left" vertical="center" wrapText="1" indent="4"/>
    </xf>
    <xf numFmtId="49" fontId="48" fillId="40" borderId="16" xfId="0" applyFont="1" applyFill="1" applyBorder="1" applyNumberFormat="1">
      <alignment vertical="center" wrapText="1"/>
    </xf>
    <xf numFmtId="49" fontId="48" fillId="40" borderId="17" xfId="0" applyFont="1" applyFill="1" applyBorder="1" applyNumberFormat="1">
      <alignment vertical="center"/>
    </xf>
    <xf numFmtId="49" fontId="48" fillId="40" borderId="17" xfId="0" applyFont="1" applyFill="1" applyBorder="1" applyNumberFormat="1">
      <alignment vertical="center" wrapText="1"/>
    </xf>
    <xf numFmtId="0" fontId="23" fillId="0" borderId="0" xfId="0" applyFont="1" applyNumberFormat="1">
      <alignment vertical="top" wrapText="1"/>
    </xf>
    <xf numFmtId="49" fontId="48" fillId="40" borderId="16" xfId="0" applyFont="1" applyFill="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36" fillId="37" borderId="0" xfId="0" applyFont="1" applyFill="1" applyNumberFormat="1">
      <alignment horizontal="center" vertical="center" wrapText="1"/>
    </xf>
    <xf numFmtId="0" fontId="23" fillId="0" borderId="0" xfId="0" applyFont="1" applyNumberFormat="1">
      <alignment vertical="center" wrapText="1"/>
    </xf>
    <xf numFmtId="49" fontId="23" fillId="40" borderId="15" xfId="0" applyFont="1" applyFill="1" applyBorder="1" applyNumberFormat="1">
      <alignment horizontal="center" vertical="center" wrapText="1"/>
    </xf>
    <xf numFmtId="4" fontId="23" fillId="0" borderId="14" xfId="0" applyFont="1" applyBorder="1" applyNumberFormat="1">
      <alignment horizontal="right" vertical="center" wrapText="1"/>
    </xf>
    <xf numFmtId="0" fontId="23" fillId="0" borderId="0" xfId="0" applyFont="1" applyNumberFormat="1">
      <alignment vertical="center" wrapText="1"/>
    </xf>
    <xf numFmtId="0" fontId="23" fillId="0" borderId="0" xfId="0" applyFont="1" applyNumberFormat="1">
      <alignment vertical="center" wrapText="1"/>
    </xf>
    <xf numFmtId="4" fontId="55" fillId="0" borderId="14" xfId="0" applyFont="1" applyBorder="1" applyNumberFormat="1">
      <alignment horizontal="center" vertical="center" wrapText="1"/>
    </xf>
    <xf numFmtId="0" fontId="0" fillId="0" borderId="0" xfId="0" applyFont="1" applyNumberFormat="1">
      <alignment vertical="center"/>
    </xf>
    <xf numFmtId="0" fontId="0" fillId="0" borderId="14" xfId="0" applyFont="1" applyBorder="1" applyNumberFormat="1">
      <alignment horizontal="left" vertical="center" wrapText="1" indent="1"/>
    </xf>
    <xf numFmtId="49" fontId="75" fillId="0" borderId="16" xfId="0" applyFont="1" applyBorder="1" applyNumberFormat="1">
      <alignment horizontal="left" vertical="center" wrapText="1"/>
    </xf>
    <xf numFmtId="0" fontId="72" fillId="0" borderId="14" xfId="0" applyFont="1" applyBorder="1" applyNumberFormat="1">
      <alignment horizontal="left" vertical="center" wrapText="1" indent="2"/>
    </xf>
    <xf numFmtId="49" fontId="72" fillId="0" borderId="14" xfId="0" applyFont="1" applyBorder="1" applyNumberFormat="1">
      <alignment horizontal="center" vertical="center" wrapText="1"/>
    </xf>
    <xf numFmtId="0" fontId="76" fillId="0" borderId="0" xfId="0" applyFont="1" applyNumberFormat="1">
      <alignment vertical="center" wrapText="1"/>
    </xf>
    <xf numFmtId="0" fontId="23" fillId="0" borderId="0" xfId="0" applyFont="1" applyNumberFormat="1">
      <alignment vertical="top"/>
    </xf>
    <xf numFmtId="0" fontId="23" fillId="0" borderId="0" xfId="0" applyFont="1" applyNumberFormat="1">
      <alignment horizontal="right" vertical="top" wrapText="1"/>
    </xf>
    <xf numFmtId="0" fontId="23" fillId="0" borderId="19" xfId="0" applyFont="1" applyBorder="1" applyNumberFormat="1">
      <alignment vertical="center" wrapText="1"/>
    </xf>
    <xf numFmtId="49" fontId="52" fillId="40" borderId="17" xfId="0" applyFont="1" applyFill="1" applyBorder="1" applyNumberFormat="1">
      <alignment horizontal="center" vertical="top"/>
    </xf>
    <xf numFmtId="0" fontId="23" fillId="0" borderId="25" xfId="0" applyFont="1" applyBorder="1" applyNumberFormat="1">
      <alignment vertical="top" wrapText="1"/>
    </xf>
    <xf numFmtId="0" fontId="0" fillId="0" borderId="0" xfId="0" applyFont="1" applyNumberFormat="1">
      <alignment horizontal="left" vertical="top" wrapText="1"/>
    </xf>
    <xf numFmtId="0" fontId="23" fillId="0" borderId="19" xfId="0" applyFont="1" applyBorder="1" applyNumberFormat="1">
      <alignment vertical="top" wrapText="1"/>
    </xf>
    <xf numFmtId="0" fontId="23" fillId="0" borderId="0" xfId="0" applyFont="1" applyNumberFormat="1">
      <alignment vertical="center" wrapText="1"/>
    </xf>
    <xf numFmtId="49" fontId="23" fillId="0" borderId="0" xfId="0" applyFont="1" applyNumberFormat="1">
      <alignment vertical="top"/>
    </xf>
    <xf numFmtId="0" fontId="47" fillId="0" borderId="0" xfId="0" applyFont="1" applyNumberFormat="1">
      <alignment vertical="center" wrapText="1"/>
    </xf>
    <xf numFmtId="0" fontId="23" fillId="0" borderId="14" xfId="0" applyFont="1" applyBorder="1" applyNumberFormat="1">
      <alignment vertical="center" wrapText="1"/>
    </xf>
    <xf numFmtId="49" fontId="23" fillId="0" borderId="0" xfId="0" applyFont="1" applyNumberFormat="1">
      <alignment horizontal="center" vertical="center" wrapText="1"/>
    </xf>
    <xf numFmtId="0" fontId="23" fillId="40" borderId="16" xfId="0" applyFont="1" applyFill="1" applyBorder="1" applyNumberFormat="1">
      <alignment vertical="center" wrapText="1"/>
    </xf>
    <xf numFmtId="0" fontId="23" fillId="42" borderId="14" xfId="0" applyFont="1" applyFill="1" applyBorder="1" applyNumberFormat="1">
      <alignment horizontal="left" vertical="center" wrapText="1" indent="1"/>
      <protection locked="0"/>
    </xf>
    <xf numFmtId="49" fontId="48" fillId="40" borderId="17" xfId="0" applyFont="1" applyFill="1" applyBorder="1" applyNumberFormat="1">
      <alignment horizontal="left" vertical="center" indent="2"/>
    </xf>
    <xf numFmtId="0" fontId="55" fillId="0" borderId="0" xfId="0" applyFont="1" applyNumberFormat="1">
      <alignment vertical="center"/>
    </xf>
    <xf numFmtId="0" fontId="77" fillId="0" borderId="0" xfId="0" applyFont="1" applyNumberFormat="1">
      <alignment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45" fillId="0" borderId="0" xfId="0" applyFont="1" applyNumberFormat="1">
      <alignment vertical="center" wrapText="1"/>
    </xf>
    <xf numFmtId="49" fontId="23" fillId="0" borderId="26" xfId="0" applyFont="1" applyBorder="1" applyNumberFormat="1">
      <alignment vertical="top"/>
    </xf>
    <xf numFmtId="0" fontId="55" fillId="0" borderId="26" xfId="0" applyFont="1" applyBorder="1" applyNumberFormat="1">
      <alignment horizontal="center" vertical="center" wrapText="1"/>
    </xf>
    <xf numFmtId="0" fontId="55" fillId="0" borderId="26" xfId="0" applyFont="1" applyBorder="1" applyNumberFormat="1">
      <alignment vertical="center" wrapText="1"/>
    </xf>
    <xf numFmtId="49" fontId="40" fillId="0" borderId="0" xfId="0" applyFont="1" applyNumberFormat="1">
      <alignment vertical="top"/>
    </xf>
    <xf numFmtId="49" fontId="0" fillId="0" borderId="26" xfId="0" applyFont="1" applyBorder="1" applyNumberFormat="1">
      <alignment vertical="top"/>
    </xf>
    <xf numFmtId="49" fontId="23" fillId="0" borderId="0" xfId="0" applyFont="1" applyNumberFormat="1">
      <alignment vertical="top"/>
    </xf>
    <xf numFmtId="49" fontId="23" fillId="0" borderId="0" xfId="0" applyFont="1" applyNumberFormat="1">
      <alignment vertical="center" wrapText="1"/>
    </xf>
    <xf numFmtId="0" fontId="40" fillId="0" borderId="0" xfId="0" applyFont="1" applyNumberFormat="1">
      <alignment vertical="center" wrapText="1"/>
    </xf>
    <xf numFmtId="0" fontId="23" fillId="37" borderId="0" xfId="0" applyFont="1" applyFill="1" applyNumberFormat="1">
      <alignment vertical="center" wrapText="1"/>
    </xf>
    <xf numFmtId="49" fontId="23" fillId="0" borderId="0" xfId="0" applyFont="1" applyNumberFormat="1">
      <alignment vertical="center" wrapText="1"/>
    </xf>
    <xf numFmtId="49" fontId="48" fillId="40" borderId="17" xfId="0" applyFont="1" applyFill="1" applyBorder="1" applyNumberFormat="1">
      <alignment horizontal="left" vertical="center" indent="4"/>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0" fontId="55" fillId="0" borderId="0" xfId="0" applyFont="1" applyNumberFormat="1">
      <alignment vertical="center"/>
    </xf>
    <xf numFmtId="0" fontId="23" fillId="0" borderId="0" xfId="0" applyFont="1" applyNumberFormat="1">
      <alignment vertical="top" wrapText="1"/>
    </xf>
    <xf numFmtId="49" fontId="23" fillId="0" borderId="14" xfId="0" applyFont="1" applyBorder="1" applyNumberFormat="1">
      <alignment horizontal="right" vertical="top"/>
    </xf>
    <xf numFmtId="49" fontId="23" fillId="0" borderId="19" xfId="0" applyFont="1" applyBorder="1" applyNumberFormat="1">
      <alignment horizontal="right" vertical="top"/>
    </xf>
    <xf numFmtId="49" fontId="48" fillId="40" borderId="17" xfId="0" applyFont="1" applyFill="1" applyBorder="1" applyNumberFormat="1">
      <alignment horizontal="left" vertical="center" indent="3"/>
    </xf>
    <xf numFmtId="49" fontId="0" fillId="0" borderId="0" xfId="0" applyFont="1" applyNumberFormat="1">
      <alignment vertical="top"/>
    </xf>
    <xf numFmtId="0" fontId="23" fillId="0" borderId="0" xfId="0" applyFont="1" applyNumberFormat="1">
      <alignment vertical="center" wrapText="1"/>
    </xf>
    <xf numFmtId="49" fontId="47" fillId="0" borderId="0" xfId="0" applyFont="1" applyNumberFormat="1">
      <alignment vertical="top"/>
    </xf>
    <xf numFmtId="0" fontId="47" fillId="37" borderId="0" xfId="0" applyFont="1" applyFill="1" applyNumberFormat="1">
      <alignment vertical="center" wrapText="1"/>
    </xf>
    <xf numFmtId="49" fontId="23"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49" fontId="55" fillId="0" borderId="0" xfId="0" applyFont="1" applyNumberFormat="1">
      <alignment vertical="top"/>
    </xf>
    <xf numFmtId="49" fontId="55" fillId="0" borderId="0" xfId="0" applyFont="1" applyNumberFormat="1">
      <alignment vertical="top"/>
    </xf>
    <xf numFmtId="49" fontId="23" fillId="42" borderId="14" xfId="0" applyFont="1" applyFill="1" applyBorder="1" applyNumberFormat="1">
      <alignment horizontal="left" vertical="center" wrapText="1"/>
      <protection locked="0"/>
    </xf>
    <xf numFmtId="49" fontId="34" fillId="42" borderId="14" xfId="0" applyFont="1" applyFill="1" applyBorder="1" applyNumberFormat="1">
      <alignment horizontal="left" vertical="center" wrapText="1"/>
      <protection locked="0"/>
    </xf>
    <xf numFmtId="49" fontId="0" fillId="0" borderId="27" xfId="0" applyFont="1" applyBorder="1" applyNumberFormat="1">
      <alignment horizontal="center" vertical="center"/>
    </xf>
    <xf numFmtId="164" fontId="23" fillId="0" borderId="14" xfId="0" applyFont="1" applyBorder="1" applyNumberFormat="1">
      <alignment horizontal="right" vertical="center" wrapText="1"/>
    </xf>
    <xf numFmtId="49" fontId="34" fillId="42" borderId="16" xfId="0" applyFont="1" applyFill="1" applyBorder="1" applyNumberFormat="1">
      <alignment horizontal="left" vertical="center" wrapText="1"/>
      <protection locked="0"/>
    </xf>
    <xf numFmtId="0" fontId="23" fillId="37" borderId="14" xfId="0" applyFont="1" applyFill="1" applyBorder="1" applyNumberFormat="1">
      <alignment horizontal="center" vertical="center"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37" borderId="0" xfId="0" applyFont="1" applyFill="1" applyNumberFormat="1">
      <alignment horizontal="center" vertical="center" wrapText="1"/>
    </xf>
    <xf numFmtId="0" fontId="36" fillId="0" borderId="0" xfId="0" applyFont="1" applyNumberFormat="1">
      <alignment vertical="top" wrapText="1"/>
    </xf>
    <xf numFmtId="0" fontId="23" fillId="37" borderId="28" xfId="0" applyFont="1" applyFill="1" applyBorder="1" applyNumberFormat="1">
      <alignment horizontal="right" vertical="center" wrapText="1" indent="1"/>
    </xf>
    <xf numFmtId="0" fontId="0" fillId="37" borderId="28" xfId="0" applyFont="1" applyFill="1" applyBorder="1" applyNumberFormat="1">
      <alignment horizontal="right" vertical="center" wrapText="1" indent="1"/>
    </xf>
    <xf numFmtId="0" fontId="23" fillId="0" borderId="0" xfId="0" applyFont="1" applyNumberFormat="1">
      <alignment horizontal="left" vertical="center" wrapText="1" indent="4"/>
    </xf>
    <xf numFmtId="0" fontId="23" fillId="37" borderId="0" xfId="0" applyFont="1" applyFill="1" applyNumberFormat="1">
      <alignment horizontal="center" vertical="center" wrapText="1"/>
    </xf>
    <xf numFmtId="49" fontId="48" fillId="40" borderId="17" xfId="0" applyFont="1" applyFill="1" applyBorder="1" applyNumberFormat="1">
      <alignment horizontal="left" vertical="center"/>
    </xf>
    <xf numFmtId="0" fontId="23" fillId="0" borderId="21" xfId="0" applyFont="1" applyBorder="1" applyNumberFormat="1">
      <alignment vertical="center" wrapText="1"/>
    </xf>
    <xf numFmtId="0" fontId="23" fillId="0" borderId="0" xfId="0" applyFont="1" applyNumberFormat="1">
      <alignment horizontal="left" vertical="center" wrapText="1" indent="1"/>
    </xf>
    <xf numFmtId="0" fontId="76" fillId="0" borderId="0" xfId="0" applyFont="1" applyNumberFormat="1">
      <alignment vertical="center" wrapText="1"/>
    </xf>
    <xf numFmtId="49" fontId="0" fillId="37" borderId="16" xfId="0" applyFont="1" applyFill="1" applyBorder="1" applyNumberFormat="1">
      <alignment horizontal="center" vertical="center" wrapText="1"/>
    </xf>
    <xf numFmtId="49" fontId="48" fillId="40" borderId="29" xfId="0" applyFont="1" applyFill="1" applyBorder="1" applyNumberFormat="1">
      <alignment horizontal="left" vertical="center" indent="2"/>
    </xf>
    <xf numFmtId="49" fontId="34" fillId="39" borderId="14" xfId="0" applyFont="1" applyFill="1" applyBorder="1" applyNumberFormat="1">
      <alignment horizontal="left" vertical="center" wrapText="1"/>
      <protection locked="0"/>
    </xf>
    <xf numFmtId="49" fontId="23" fillId="0" borderId="21" xfId="0" applyFont="1" applyBorder="1" applyNumberFormat="1">
      <alignment vertical="top"/>
    </xf>
    <xf numFmtId="49" fontId="78" fillId="40" borderId="15" xfId="0" applyFont="1" applyFill="1" applyBorder="1" applyNumberFormat="1">
      <alignment horizontal="left" vertical="center" indent="1"/>
    </xf>
    <xf numFmtId="49" fontId="78" fillId="40" borderId="17" xfId="0" applyFont="1" applyFill="1" applyBorder="1" applyNumberFormat="1">
      <alignment horizontal="left" vertical="center" indent="1"/>
    </xf>
    <xf numFmtId="49" fontId="36" fillId="40" borderId="16" xfId="0" applyFont="1" applyFill="1" applyBorder="1" applyNumberFormat="1">
      <alignment horizontal="center" vertical="center"/>
    </xf>
    <xf numFmtId="49" fontId="78" fillId="40" borderId="17" xfId="0" applyFont="1" applyFill="1" applyBorder="1" applyNumberFormat="1">
      <alignment vertical="center"/>
    </xf>
    <xf numFmtId="0" fontId="0" fillId="34" borderId="14" xfId="0" applyFont="1" applyFill="1" applyBorder="1" applyNumberFormat="1">
      <alignment horizontal="right" vertical="center"/>
    </xf>
    <xf numFmtId="0" fontId="41" fillId="0" borderId="0" xfId="0" applyFont="1" applyNumberFormat="1">
      <alignment vertical="center" wrapText="1"/>
    </xf>
    <xf numFmtId="0" fontId="23" fillId="0" borderId="0" xfId="0" applyFont="1" applyNumberFormat="1">
      <alignment vertical="center" wrapText="1"/>
    </xf>
    <xf numFmtId="0" fontId="42" fillId="37" borderId="0" xfId="0" applyFont="1" applyFill="1" applyNumberFormat="1">
      <alignment vertical="center" wrapText="1"/>
    </xf>
    <xf numFmtId="0" fontId="40" fillId="0" borderId="0" xfId="0" applyFont="1" applyNumberFormat="1">
      <alignment horizontal="center" vertical="center" wrapText="1"/>
    </xf>
    <xf numFmtId="0" fontId="0" fillId="0" borderId="0" xfId="0" applyFont="1" applyNumberFormat="1">
      <alignment vertical="center" wrapText="1"/>
    </xf>
    <xf numFmtId="0" fontId="40" fillId="0" borderId="0" xfId="0" applyFont="1" applyNumberFormat="1">
      <alignment horizontal="left" vertical="center" wrapText="1"/>
    </xf>
    <xf numFmtId="0" fontId="0" fillId="0" borderId="14" xfId="0" applyFont="1" applyBorder="1" applyNumberFormat="1">
      <alignment horizontal="center" vertical="center" wrapText="1"/>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0" fontId="54" fillId="0" borderId="0" xfId="0" applyFont="1" applyNumberFormat="1">
      <alignment vertical="center" wrapText="1"/>
    </xf>
    <xf numFmtId="0" fontId="0" fillId="0" borderId="0" xfId="0" applyFont="1" applyNumberFormat="1">
      <alignment vertical="center"/>
    </xf>
    <xf numFmtId="49" fontId="55" fillId="0" borderId="0" xfId="0" applyFont="1" applyNumberFormat="1">
      <alignment vertical="top"/>
    </xf>
    <xf numFmtId="0" fontId="79" fillId="0" borderId="0" xfId="0" applyFont="1" applyNumberFormat="1">
      <alignment vertical="center" wrapText="1"/>
    </xf>
    <xf numFmtId="49" fontId="36" fillId="40" borderId="16" xfId="0" applyFont="1" applyFill="1" applyBorder="1" applyNumberFormat="1">
      <alignment horizontal="right" vertical="center" wrapText="1"/>
    </xf>
    <xf numFmtId="49" fontId="54" fillId="0" borderId="0" xfId="0" applyFont="1" applyNumberFormat="1">
      <alignment vertical="top"/>
    </xf>
    <xf numFmtId="49" fontId="0" fillId="0" borderId="0" xfId="0" applyFont="1" applyNumberFormat="1">
      <alignment vertical="top"/>
    </xf>
    <xf numFmtId="49" fontId="0" fillId="40" borderId="15" xfId="0" applyFont="1" applyFill="1" applyBorder="1" applyNumberFormat="1">
      <alignment horizontal="right" vertical="center" wrapText="1"/>
    </xf>
    <xf numFmtId="0" fontId="0" fillId="0" borderId="14" xfId="0" applyFont="1" applyBorder="1" applyNumberFormat="1">
      <alignment horizontal="center"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65" fillId="0" borderId="0" xfId="0" applyFont="1" applyNumberFormat="1">
      <alignment vertical="center" wrapText="1"/>
    </xf>
    <xf numFmtId="0" fontId="0" fillId="0" borderId="16" xfId="0" applyFont="1" applyBorder="1" applyNumberFormat="1">
      <alignment horizontal="center" vertical="center" wrapText="1"/>
    </xf>
    <xf numFmtId="0" fontId="0" fillId="39"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vertical="top" wrapText="1"/>
    </xf>
    <xf numFmtId="0" fontId="0" fillId="37" borderId="16" xfId="0" applyFont="1" applyFill="1" applyBorder="1" applyNumberFormat="1">
      <alignment horizontal="left" vertical="center" wrapText="1" indent="1"/>
    </xf>
    <xf numFmtId="0" fontId="0" fillId="37" borderId="19" xfId="0" applyFont="1" applyFill="1" applyBorder="1" applyNumberFormat="1">
      <alignment horizontal="left" vertical="center" wrapText="1"/>
    </xf>
    <xf numFmtId="0" fontId="0" fillId="37" borderId="14" xfId="0" applyFont="1" applyFill="1" applyBorder="1" applyNumberFormat="1">
      <alignment horizontal="left" vertical="center" wrapText="1"/>
    </xf>
    <xf numFmtId="0" fontId="0" fillId="37" borderId="14" xfId="0" applyFont="1" applyFill="1" applyBorder="1" applyNumberFormat="1">
      <alignment horizontal="left" vertical="center" wrapText="1" indent="2"/>
    </xf>
    <xf numFmtId="0" fontId="0" fillId="37" borderId="14" xfId="0" applyFont="1" applyFill="1" applyBorder="1" applyNumberFormat="1">
      <alignment horizontal="center" vertical="center"/>
    </xf>
    <xf numFmtId="49" fontId="0" fillId="42" borderId="14" xfId="0" applyFont="1" applyFill="1" applyBorder="1" applyNumberFormat="1">
      <alignment horizontal="left" vertical="center" wrapText="1"/>
      <protection locked="0"/>
    </xf>
    <xf numFmtId="0" fontId="0" fillId="37" borderId="14" xfId="0" applyFont="1" applyFill="1" applyBorder="1" applyNumberFormat="1">
      <alignment horizontal="left" vertical="center" wrapText="1" indent="1"/>
    </xf>
    <xf numFmtId="0" fontId="0" fillId="0" borderId="14" xfId="0" applyFont="1" applyBorder="1" applyNumberFormat="1">
      <alignment horizontal="center" vertical="center" wrapText="1"/>
    </xf>
    <xf numFmtId="0" fontId="0" fillId="37" borderId="14" xfId="0" applyFont="1" applyFill="1" applyBorder="1" applyNumberFormat="1">
      <alignment vertical="center" wrapText="1"/>
    </xf>
    <xf numFmtId="49" fontId="0" fillId="37" borderId="14" xfId="0" applyFont="1" applyFill="1" applyBorder="1" applyNumberFormat="1">
      <alignment horizontal="center" vertical="center"/>
    </xf>
    <xf numFmtId="0" fontId="0" fillId="37" borderId="14" xfId="0" applyFont="1" applyFill="1" applyBorder="1" applyNumberFormat="1">
      <alignment horizontal="center" vertical="center" wrapText="1"/>
    </xf>
    <xf numFmtId="0" fontId="23" fillId="0" borderId="0" xfId="0" applyFont="1" applyNumberFormat="1">
      <alignment vertical="center" wrapText="1"/>
    </xf>
    <xf numFmtId="49" fontId="44" fillId="37" borderId="0" xfId="0" applyFont="1" applyFill="1" applyNumberFormat="1">
      <alignment horizontal="center"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45" fillId="0" borderId="0" xfId="0" applyFont="1" applyNumberFormat="1">
      <alignment horizontal="center" vertical="center" wrapText="1"/>
    </xf>
    <xf numFmtId="0" fontId="50" fillId="0" borderId="0" xfId="0" applyFont="1" applyNumberFormat="1">
      <alignment vertical="center" wrapText="1"/>
    </xf>
    <xf numFmtId="0" fontId="22" fillId="0" borderId="0" xfId="0" applyFont="1" applyNumberFormat="1">
      <alignment horizontal="center" vertical="center" wrapText="1"/>
    </xf>
    <xf numFmtId="0" fontId="53" fillId="0" borderId="0" xfId="0" applyFont="1" applyNumberFormat="1">
      <alignment vertical="center" wrapText="1"/>
    </xf>
    <xf numFmtId="0" fontId="0" fillId="37" borderId="0" xfId="0" applyFont="1" applyFill="1" applyNumberFormat="1"/>
    <xf numFmtId="0" fontId="0" fillId="37" borderId="0" xfId="0" applyFont="1" applyFill="1" applyNumberFormat="1">
      <alignment horizontal="center"/>
    </xf>
    <xf numFmtId="0" fontId="23" fillId="37" borderId="0" xfId="0" applyFont="1" applyFill="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1" fillId="37" borderId="0" xfId="0" applyFont="1" applyFill="1" applyNumberFormat="1"/>
    <xf numFmtId="0" fontId="82" fillId="37" borderId="0" xfId="0" applyFont="1" applyFill="1" applyNumberFormat="1">
      <alignment horizontal="right" vertical="center"/>
    </xf>
    <xf numFmtId="0" fontId="82" fillId="37" borderId="0" xfId="0" applyFont="1" applyFill="1" applyNumberFormat="1">
      <alignment horizontal="right" vertical="top"/>
    </xf>
    <xf numFmtId="0" fontId="23" fillId="37" borderId="0" xfId="0" applyFont="1" applyFill="1" applyNumberFormat="1">
      <alignment horizontal="center" vertical="center" wrapText="1"/>
    </xf>
    <xf numFmtId="0" fontId="44" fillId="37" borderId="0" xfId="0" applyFont="1" applyFill="1" applyNumberFormat="1">
      <alignment horizontal="center" vertical="center"/>
    </xf>
    <xf numFmtId="0" fontId="23" fillId="0" borderId="14" xfId="0" applyFont="1" applyBorder="1" applyNumberFormat="1">
      <alignment horizontal="center" vertical="center" wrapText="1"/>
    </xf>
    <xf numFmtId="0" fontId="53" fillId="0" borderId="0" xfId="0" applyFont="1" applyNumberFormat="1">
      <alignment vertical="top" wrapText="1"/>
    </xf>
    <xf numFmtId="0" fontId="23" fillId="40" borderId="16" xfId="0" applyFont="1" applyFill="1" applyBorder="1" applyNumberFormat="1">
      <alignment horizontal="center"/>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0" fontId="83" fillId="37" borderId="0" xfId="0" applyFont="1" applyFill="1" applyNumberFormat="1">
      <alignment vertical="center"/>
    </xf>
    <xf numFmtId="0" fontId="83" fillId="37" borderId="0" xfId="0" applyFont="1" applyFill="1" applyNumberFormat="1">
      <alignment vertical="center" wrapText="1"/>
    </xf>
    <xf numFmtId="49"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vertical="center" wrapText="1"/>
    </xf>
    <xf numFmtId="0" fontId="70" fillId="37" borderId="0" xfId="0" applyFont="1" applyFill="1" applyNumberFormat="1"/>
    <xf numFmtId="0" fontId="58" fillId="37" borderId="0" xfId="0" applyFont="1" applyFill="1" applyNumberFormat="1"/>
    <xf numFmtId="0" fontId="66" fillId="37" borderId="0" xfId="0" applyFont="1" applyFill="1" applyNumberFormat="1"/>
    <xf numFmtId="0" fontId="66" fillId="37" borderId="0" xfId="0" applyFont="1" applyFill="1" applyNumberFormat="1">
      <alignment horizontal="center"/>
    </xf>
    <xf numFmtId="0" fontId="63" fillId="0" borderId="0" xfId="0" applyFont="1" applyNumberFormat="1">
      <alignment vertical="center" wrapText="1"/>
    </xf>
    <xf numFmtId="0" fontId="65"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4" fontId="65" fillId="0" borderId="0" xfId="0" applyFont="1" applyNumberFormat="1">
      <alignment horizontal="right" vertical="center" wrapText="1"/>
    </xf>
    <xf numFmtId="0" fontId="65" fillId="0" borderId="0" xfId="0" applyFont="1" applyNumberFormat="1">
      <alignment horizontal="left" vertical="center" wrapText="1" indent="1"/>
    </xf>
    <xf numFmtId="0" fontId="84" fillId="37" borderId="0" xfId="0" applyFont="1" applyFill="1" applyNumberFormat="1">
      <alignment horizontal="center" vertical="center" wrapText="1"/>
    </xf>
    <xf numFmtId="0" fontId="44" fillId="37" borderId="0" xfId="0" applyFont="1" applyFill="1" applyNumberFormat="1">
      <alignment horizontal="center" vertical="center" wrapText="1"/>
    </xf>
    <xf numFmtId="0" fontId="69" fillId="0" borderId="0" xfId="0" applyFont="1" applyNumberFormat="1">
      <alignment vertical="center" wrapText="1"/>
    </xf>
    <xf numFmtId="0" fontId="55" fillId="0" borderId="0" xfId="0" applyFont="1" applyNumberFormat="1">
      <alignment vertical="center" wrapText="1"/>
    </xf>
    <xf numFmtId="49" fontId="23" fillId="43" borderId="14" xfId="0" applyFont="1" applyFill="1" applyBorder="1" applyNumberFormat="1">
      <alignment horizontal="left" vertical="center" wrapText="1"/>
    </xf>
    <xf numFmtId="0" fontId="69" fillId="0" borderId="0" xfId="0" applyFont="1" applyNumberFormat="1">
      <alignment horizontal="center" vertical="center" wrapText="1"/>
    </xf>
    <xf numFmtId="0" fontId="23" fillId="37" borderId="26" xfId="0" applyFont="1" applyFill="1" applyBorder="1" applyNumberFormat="1">
      <alignment vertical="center" wrapText="1"/>
    </xf>
    <xf numFmtId="49" fontId="44" fillId="37" borderId="17" xfId="0" applyFont="1" applyFill="1" applyBorder="1" applyNumberFormat="1">
      <alignment horizontal="center" vertical="center" wrapText="1"/>
    </xf>
    <xf numFmtId="0" fontId="55" fillId="0" borderId="0" xfId="0" applyFont="1" applyNumberFormat="1">
      <alignment horizontal="center" vertical="center" wrapText="1"/>
    </xf>
    <xf numFmtId="0" fontId="84" fillId="0" borderId="0" xfId="0" applyFont="1" applyNumberFormat="1">
      <alignment horizontal="center" vertical="center" wrapText="1"/>
    </xf>
    <xf numFmtId="0" fontId="77" fillId="0" borderId="0" xfId="0" applyFont="1" applyNumberFormat="1">
      <alignment vertical="center" wrapText="1"/>
    </xf>
    <xf numFmtId="49" fontId="77" fillId="0" borderId="14" xfId="0" applyFont="1" applyBorder="1" applyNumberFormat="1">
      <alignment horizontal="lef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0" fontId="55" fillId="0" borderId="0" xfId="0" applyFont="1" applyNumberFormat="1">
      <alignment vertical="center"/>
    </xf>
    <xf numFmtId="0" fontId="55" fillId="37" borderId="0" xfId="0" applyFont="1" applyFill="1" applyNumberFormat="1"/>
    <xf numFmtId="0" fontId="55" fillId="37" borderId="0" xfId="0" applyFont="1" applyFill="1" applyNumberFormat="1">
      <alignment vertical="center" wrapText="1"/>
    </xf>
    <xf numFmtId="0" fontId="55"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45" fillId="37" borderId="0" xfId="0" applyFont="1" applyFill="1" applyNumberFormat="1">
      <alignment horizontal="center" vertical="center" wrapText="1"/>
    </xf>
    <xf numFmtId="0" fontId="50" fillId="0" borderId="0" xfId="0" applyFont="1" applyNumberFormat="1">
      <alignment vertical="center" wrapText="1"/>
    </xf>
    <xf numFmtId="49" fontId="23" fillId="0" borderId="14" xfId="0" applyFont="1" applyBorder="1" applyNumberFormat="1">
      <alignment horizontal="left" vertical="center" wrapText="1"/>
    </xf>
    <xf numFmtId="0" fontId="23" fillId="0" borderId="0" xfId="0" applyFont="1" applyNumberFormat="1">
      <alignment vertical="center" wrapText="1"/>
    </xf>
    <xf numFmtId="49" fontId="55" fillId="0" borderId="0" xfId="0" applyFont="1" applyNumberFormat="1">
      <alignment vertical="center" wrapText="1"/>
    </xf>
    <xf numFmtId="0" fontId="55" fillId="0" borderId="0" xfId="0" applyFont="1" applyNumberFormat="1">
      <alignment vertical="center" wrapText="1"/>
    </xf>
    <xf numFmtId="0" fontId="23" fillId="0" borderId="14" xfId="0" applyFont="1" applyBorder="1" applyNumberFormat="1">
      <alignment horizontal="center" vertical="center"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55" fillId="0" borderId="0" xfId="0" applyFont="1" applyNumberFormat="1">
      <alignment vertical="center" wrapText="1"/>
    </xf>
    <xf numFmtId="49" fontId="34" fillId="0" borderId="14" xfId="0" applyFont="1" applyBorder="1" applyNumberFormat="1">
      <alignment horizontal="left" vertical="center" wrapText="1"/>
    </xf>
    <xf numFmtId="14"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center" vertical="center" wrapText="1"/>
    </xf>
    <xf numFmtId="0" fontId="87" fillId="0" borderId="0" xfId="0" applyFont="1" applyNumberFormat="1">
      <alignment horizontal="center" vertical="center" wrapText="1"/>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0" fillId="37" borderId="16" xfId="0" applyFont="1" applyFill="1" applyBorder="1" applyNumberFormat="1">
      <alignment horizontal="left" vertical="center" wrapText="1"/>
    </xf>
    <xf numFmtId="49" fontId="36" fillId="40" borderId="17" xfId="0" applyFont="1" applyFill="1" applyBorder="1" applyNumberFormat="1">
      <alignment horizontal="center" vertical="center"/>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vertical="center" wrapText="1"/>
    </xf>
    <xf numFmtId="0" fontId="54" fillId="0" borderId="0" xfId="0" applyFont="1" applyNumberFormat="1">
      <alignment horizontal="center" vertical="center" wrapText="1"/>
    </xf>
    <xf numFmtId="0" fontId="88" fillId="0" borderId="0" xfId="0" applyFont="1" applyNumberFormat="1">
      <alignment vertical="center" wrapText="1"/>
    </xf>
    <xf numFmtId="49" fontId="54" fillId="0" borderId="0" xfId="0" applyFont="1" applyNumberFormat="1">
      <alignment horizontal="center" vertical="center" wrapText="1"/>
    </xf>
    <xf numFmtId="0" fontId="54" fillId="0" borderId="0" xfId="0" applyFont="1" applyNumberFormat="1">
      <alignment vertical="center" wrapText="1"/>
    </xf>
    <xf numFmtId="49" fontId="23" fillId="0" borderId="0" xfId="0" applyFont="1" applyNumberFormat="1">
      <alignment horizontal="center" vertical="top" wrapText="1"/>
    </xf>
    <xf numFmtId="49" fontId="23"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 fontId="23" fillId="39" borderId="14" xfId="0" applyFont="1" applyFill="1" applyBorder="1" applyNumberFormat="1">
      <alignment horizontal="right" vertical="center" wrapText="1"/>
      <protection locked="0"/>
    </xf>
    <xf numFmtId="0" fontId="23" fillId="0" borderId="15" xfId="0" applyFont="1" applyBorder="1" applyNumberFormat="1">
      <alignment vertical="top" wrapText="1"/>
    </xf>
    <xf numFmtId="0" fontId="89" fillId="0" borderId="0" xfId="0" applyFont="1" applyNumberFormat="1">
      <alignment vertical="center" wrapText="1"/>
    </xf>
    <xf numFmtId="0" fontId="59" fillId="0" borderId="0" xfId="0" applyFont="1" applyNumberFormat="1">
      <alignment vertical="center" wrapText="1"/>
    </xf>
    <xf numFmtId="166" fontId="23" fillId="39" borderId="14" xfId="0" applyFont="1" applyFill="1" applyBorder="1" applyNumberFormat="1">
      <alignment horizontal="right" vertical="center" wrapText="1"/>
      <protection locked="0"/>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49" fontId="55" fillId="0" borderId="0" xfId="0" applyFont="1" applyNumberFormat="1">
      <alignment horizontal="center"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0" fontId="23" fillId="39" borderId="14" xfId="0" applyFont="1" applyFill="1" applyBorder="1" applyNumberFormat="1">
      <alignment horizontal="left" vertical="center" wrapText="1"/>
      <protection locked="0"/>
    </xf>
    <xf numFmtId="0" fontId="22" fillId="0" borderId="0" xfId="0" applyFont="1" applyNumberFormat="1">
      <alignment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49"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14" fontId="23" fillId="0" borderId="0" xfId="0" applyFont="1" applyNumberFormat="1">
      <alignment horizontal="center" vertical="center" wrapText="1"/>
    </xf>
    <xf numFmtId="49" fontId="36" fillId="0" borderId="0" xfId="0" applyFont="1" applyNumberFormat="1">
      <alignment horizontal="center" vertical="center"/>
    </xf>
    <xf numFmtId="0" fontId="23" fillId="0" borderId="14" xfId="0" applyFont="1" applyBorder="1" applyNumberFormat="1">
      <alignment horizontal="left" vertical="center" wrapText="1" indent="2"/>
    </xf>
    <xf numFmtId="166" fontId="23" fillId="42" borderId="14"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0" fontId="23" fillId="0" borderId="0" xfId="0" applyFont="1" applyNumberFormat="1">
      <alignment horizontal="left" vertical="center" wrapText="1"/>
    </xf>
    <xf numFmtId="0" fontId="23" fillId="0" borderId="0" xfId="0" applyFont="1" applyNumberFormat="1">
      <alignment vertical="center"/>
    </xf>
    <xf numFmtId="0" fontId="0"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91" fillId="0" borderId="0" xfId="0" applyFont="1" applyNumberFormat="1">
      <alignment vertical="center"/>
    </xf>
    <xf numFmtId="0" fontId="49" fillId="0" borderId="0" xfId="0" applyFont="1" applyNumberFormat="1">
      <alignment vertical="center"/>
    </xf>
    <xf numFmtId="0" fontId="23" fillId="0" borderId="0" xfId="0" applyFont="1" applyNumberFormat="1">
      <alignment vertical="center" wrapText="1"/>
    </xf>
    <xf numFmtId="0" fontId="49" fillId="0" borderId="0" xfId="0" applyFont="1" applyNumberFormat="1">
      <alignment vertical="center"/>
    </xf>
    <xf numFmtId="0" fontId="91" fillId="0" borderId="0" xfId="0" applyFont="1" applyNumberFormat="1">
      <alignment vertical="center"/>
    </xf>
    <xf numFmtId="0" fontId="37" fillId="0" borderId="0" xfId="0" applyFont="1" applyNumberFormat="1">
      <alignment vertical="center"/>
    </xf>
    <xf numFmtId="0" fontId="23" fillId="0" borderId="0" xfId="0" applyFont="1" applyNumberFormat="1">
      <alignment horizontal="center" vertical="center" wrapText="1"/>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0" fontId="54" fillId="0" borderId="0" xfId="0" applyFont="1" applyNumberFormat="1">
      <alignment vertical="center"/>
    </xf>
    <xf numFmtId="0" fontId="0"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0" fontId="0" fillId="40" borderId="15" xfId="0" applyFont="1" applyFill="1" applyBorder="1" applyNumberFormat="1">
      <alignment vertical="center"/>
    </xf>
    <xf numFmtId="49" fontId="23" fillId="0" borderId="19"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0" xfId="0" applyFont="1" applyNumberFormat="1">
      <alignment vertical="center"/>
    </xf>
    <xf numFmtId="0" fontId="79" fillId="0" borderId="0" xfId="0" applyFont="1" applyNumberFormat="1">
      <alignment vertical="center"/>
    </xf>
    <xf numFmtId="0" fontId="0" fillId="0" borderId="0" xfId="0" applyFont="1" applyNumberFormat="1">
      <alignment vertical="center"/>
    </xf>
    <xf numFmtId="49" fontId="48" fillId="40" borderId="15"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40" fillId="0" borderId="0" xfId="0" applyFont="1" applyNumberFormat="1">
      <alignment horizontal="center" vertical="center" wrapText="1"/>
    </xf>
    <xf numFmtId="0" fontId="55"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center" vertical="center" wrapText="1"/>
    </xf>
    <xf numFmtId="0" fontId="36" fillId="0" borderId="0" xfId="0" applyFont="1" applyNumberFormat="1">
      <alignment horizontal="center" vertical="center" wrapText="1"/>
    </xf>
    <xf numFmtId="49" fontId="40"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49" fontId="68" fillId="0" borderId="0" xfId="0" applyFont="1" applyNumberFormat="1">
      <alignment horizontal="center" vertical="center" wrapText="1"/>
    </xf>
    <xf numFmtId="0" fontId="68"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49" fontId="0" fillId="0" borderId="15" xfId="0" applyFont="1" applyBorder="1" applyNumberFormat="1">
      <alignment horizontal="center"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48" fillId="0" borderId="14" xfId="0" applyFont="1" applyBorder="1" applyNumberFormat="1">
      <alignment horizontal="left" vertical="center" indent="1"/>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23" fillId="0" borderId="0" xfId="0" applyFont="1" applyNumberFormat="1">
      <alignment vertical="top" wrapText="1"/>
    </xf>
    <xf numFmtId="0" fontId="23" fillId="0" borderId="0" xfId="0" applyFont="1" applyNumberFormat="1">
      <alignment horizontal="left" vertical="top" wrapText="1"/>
    </xf>
    <xf numFmtId="0" fontId="44" fillId="0" borderId="0" xfId="0" applyFont="1" applyNumberFormat="1">
      <alignment horizontal="center"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49" fontId="34" fillId="39" borderId="16"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53" fillId="0" borderId="0" xfId="0" applyFont="1" applyNumberFormat="1">
      <alignment vertical="top"/>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0" borderId="34" xfId="0" applyFont="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0" fontId="23" fillId="0" borderId="33" xfId="0" applyFont="1" applyBorder="1" applyNumberFormat="1">
      <alignment horizontal="left" vertical="center" wrapText="1" indent="2"/>
    </xf>
    <xf numFmtId="0" fontId="54" fillId="0" borderId="0" xfId="0" applyFont="1" applyNumberFormat="1">
      <alignment horizontal="center" vertical="center" wrapText="1"/>
    </xf>
    <xf numFmtId="49" fontId="23" fillId="0" borderId="0" xfId="0" applyFont="1" applyNumberFormat="1">
      <alignment horizontal="left" vertical="center" wrapText="1"/>
    </xf>
    <xf numFmtId="0" fontId="88" fillId="0" borderId="0" xfId="0" applyFont="1" applyNumberFormat="1">
      <alignment vertical="center" wrapText="1"/>
    </xf>
    <xf numFmtId="0" fontId="88" fillId="0" borderId="0" xfId="0" applyFont="1" applyNumberFormat="1">
      <alignment vertical="center" wrapText="1"/>
    </xf>
    <xf numFmtId="0" fontId="23" fillId="0" borderId="0" xfId="0" applyFont="1" applyNumberFormat="1">
      <alignment horizontal="left"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5" xfId="0" applyFont="1" applyBorder="1" applyNumberFormat="1">
      <alignment vertical="center" wrapText="1"/>
    </xf>
    <xf numFmtId="4" fontId="23" fillId="39" borderId="16" xfId="0" applyFont="1" applyFill="1" applyBorder="1" applyNumberFormat="1">
      <alignment horizontal="right" vertical="center" wrapText="1"/>
      <protection locked="0"/>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3" fontId="23" fillId="42" borderId="16" xfId="0" applyFont="1" applyFill="1" applyBorder="1" applyNumberFormat="1">
      <alignment vertical="center" wrapText="1"/>
      <protection locked="0"/>
    </xf>
    <xf numFmtId="49" fontId="23" fillId="39" borderId="16" xfId="0" applyFont="1" applyFill="1" applyBorder="1" applyNumberFormat="1">
      <alignment horizontal="left" vertical="center" wrapText="1"/>
      <protection locked="0"/>
    </xf>
    <xf numFmtId="4" fontId="23" fillId="38" borderId="16" xfId="0" applyFont="1" applyFill="1" applyBorder="1" applyNumberFormat="1">
      <alignment horizontal="right" vertical="center" wrapText="1"/>
    </xf>
    <xf numFmtId="0" fontId="23" fillId="0" borderId="0" xfId="0" applyFont="1" applyNumberFormat="1">
      <alignment horizontal="left" vertical="center" wrapText="1"/>
    </xf>
    <xf numFmtId="0" fontId="0" fillId="0" borderId="16" xfId="0" applyFont="1" applyBorder="1" applyNumberFormat="1">
      <alignment horizontal="center" vertical="center"/>
    </xf>
    <xf numFmtId="49" fontId="0"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0" fontId="23" fillId="40" borderId="29" xfId="0" applyFont="1" applyFill="1" applyBorder="1" applyNumberFormat="1">
      <alignment vertical="center" wrapText="1"/>
    </xf>
    <xf numFmtId="49" fontId="23" fillId="42" borderId="16"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1"/>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23" fillId="0" borderId="14" xfId="0" applyFont="1" applyBorder="1" applyNumberFormat="1">
      <alignment horizontal="center" vertical="center" wrapText="1"/>
    </xf>
    <xf numFmtId="49" fontId="54" fillId="0" borderId="0" xfId="0" applyFont="1" applyNumberFormat="1">
      <alignment horizontal="center" vertical="center" wrapText="1"/>
    </xf>
    <xf numFmtId="0" fontId="23" fillId="0" borderId="14" xfId="0" applyFont="1" applyBorder="1" applyNumberFormat="1">
      <alignment horizontal="center" vertical="center" wrapText="1"/>
    </xf>
    <xf numFmtId="0" fontId="54" fillId="0" borderId="0" xfId="0" applyFont="1" applyNumberFormat="1">
      <alignment horizontal="center" vertical="top"/>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23" fillId="0" borderId="14" xfId="0" applyFont="1" applyBorder="1" applyNumberFormat="1">
      <alignment horizontal="left" vertical="center" wrapText="1"/>
    </xf>
    <xf numFmtId="49" fontId="23" fillId="43" borderId="14" xfId="0" applyFont="1" applyFill="1" applyBorder="1" applyNumberFormat="1">
      <alignment horizontal="left" vertical="center" wrapText="1" indent="1"/>
    </xf>
    <xf numFmtId="0" fontId="23" fillId="0" borderId="16" xfId="0" applyFont="1" applyBorder="1" applyNumberFormat="1">
      <alignment vertical="center" wrapText="1"/>
    </xf>
    <xf numFmtId="0" fontId="23" fillId="0" borderId="0" xfId="0" applyFont="1" applyNumberFormat="1">
      <alignment horizontal="right" vertical="center"/>
    </xf>
    <xf numFmtId="49" fontId="34" fillId="40" borderId="15" xfId="0" applyFont="1" applyFill="1" applyBorder="1" applyNumberFormat="1">
      <alignment horizontal="left" vertical="center" wrapText="1"/>
    </xf>
    <xf numFmtId="0" fontId="94" fillId="0" borderId="0" xfId="0" applyFont="1" applyNumberFormat="1">
      <alignment vertical="center"/>
    </xf>
    <xf numFmtId="0" fontId="95" fillId="0" borderId="0" xfId="0" applyFont="1" applyNumberFormat="1">
      <alignment vertical="center"/>
    </xf>
    <xf numFmtId="49" fontId="55" fillId="0" borderId="24" xfId="0" applyFont="1" applyBorder="1" applyNumberFormat="1">
      <alignment vertical="top"/>
    </xf>
    <xf numFmtId="49" fontId="55" fillId="0" borderId="24" xfId="0" applyFont="1" applyBorder="1" applyNumberFormat="1">
      <alignment vertical="top"/>
    </xf>
    <xf numFmtId="0" fontId="55" fillId="0" borderId="24" xfId="0" applyFont="1" applyBorder="1" applyNumberFormat="1">
      <alignment vertical="center" wrapText="1"/>
    </xf>
    <xf numFmtId="0" fontId="23" fillId="0" borderId="15" xfId="0" applyFont="1" applyBorder="1" applyNumberFormat="1">
      <alignment horizontal="left" vertical="center" wrapText="1" indent="1"/>
    </xf>
    <xf numFmtId="0" fontId="76" fillId="0" borderId="24" xfId="0" applyFont="1" applyBorder="1" applyNumberFormat="1">
      <alignment vertical="center" wrapText="1"/>
    </xf>
    <xf numFmtId="4" fontId="23" fillId="0" borderId="33" xfId="0" applyFont="1" applyBorder="1" applyNumberFormat="1">
      <alignment horizontal="center" vertical="center" wrapText="1"/>
    </xf>
    <xf numFmtId="0" fontId="23" fillId="0" borderId="35" xfId="0" applyFont="1" applyBorder="1" applyNumberFormat="1">
      <alignment horizontal="left" vertical="center" wrapText="1"/>
    </xf>
    <xf numFmtId="0" fontId="23" fillId="0" borderId="35" xfId="0" applyFont="1" applyBorder="1" applyNumberFormat="1">
      <alignment horizontal="left" vertical="center" wrapText="1" indent="1"/>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9" fontId="23" fillId="0" borderId="36"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6" xfId="0" applyFont="1" applyFill="1" applyBorder="1" applyNumberFormat="1">
      <alignment horizontal="right" vertical="center" wrapText="1"/>
      <protection locked="0"/>
    </xf>
    <xf numFmtId="0" fontId="54" fillId="0" borderId="0" xfId="0" applyFont="1" applyNumberFormat="1">
      <alignment horizontal="left" vertical="center" wrapText="1"/>
    </xf>
    <xf numFmtId="0" fontId="55"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0" borderId="0" xfId="0" applyFont="1" applyNumberFormat="1">
      <alignment horizontal="center" vertical="center" wrapText="1"/>
    </xf>
    <xf numFmtId="0" fontId="89" fillId="0" borderId="0" xfId="0" applyFont="1" applyNumberFormat="1">
      <alignment vertical="center" wrapText="1"/>
    </xf>
    <xf numFmtId="0" fontId="55"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4" fontId="23" fillId="0" borderId="37"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49" fontId="23" fillId="0" borderId="35" xfId="0" applyFont="1" applyBorder="1" applyNumberFormat="1">
      <alignment horizontal="center" vertical="center" wrapText="1"/>
    </xf>
    <xf numFmtId="0" fontId="23" fillId="0" borderId="37" xfId="0" applyFont="1" applyBorder="1" applyNumberFormat="1">
      <alignment horizontal="left" vertical="center" wrapText="1"/>
    </xf>
    <xf numFmtId="0" fontId="23" fillId="0" borderId="22" xfId="0" applyFont="1" applyBorder="1" applyNumberFormat="1">
      <alignment vertical="center" wrapText="1"/>
    </xf>
    <xf numFmtId="0" fontId="45" fillId="0" borderId="0" xfId="0" applyFont="1" applyNumberFormat="1">
      <alignment horizontal="center"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166" fontId="23" fillId="38" borderId="14" xfId="0" applyFont="1" applyFill="1" applyBorder="1" applyNumberFormat="1">
      <alignment horizontal="right" vertical="center" wrapText="1"/>
    </xf>
    <xf numFmtId="0" fontId="0" fillId="0" borderId="0" xfId="0" applyFont="1" applyNumberFormat="1">
      <alignment vertical="center"/>
    </xf>
    <xf numFmtId="4" fontId="23" fillId="39" borderId="14" xfId="0" applyFont="1" applyFill="1" applyBorder="1" applyNumberFormat="1">
      <alignment horizontal="right" vertical="center" wrapText="1"/>
      <protection locked="0"/>
    </xf>
    <xf numFmtId="0" fontId="78" fillId="37" borderId="0" xfId="0" applyFont="1" applyFill="1" applyNumberFormat="1">
      <alignment horizontal="right" vertical="center"/>
    </xf>
    <xf numFmtId="49" fontId="0" fillId="0" borderId="14" xfId="0" applyFont="1" applyBorder="1" applyNumberFormat="1">
      <alignment vertical="top"/>
    </xf>
    <xf numFmtId="0" fontId="23" fillId="0" borderId="16" xfId="0" applyFont="1" applyBorder="1" applyNumberFormat="1">
      <alignment horizontal="center" vertical="center" wrapText="1"/>
    </xf>
    <xf numFmtId="49" fontId="0" fillId="16" borderId="14" xfId="0" applyFont="1" applyFill="1" applyBorder="1" applyNumberFormat="1">
      <alignment vertical="top"/>
    </xf>
    <xf numFmtId="49" fontId="0" fillId="16" borderId="19" xfId="0" applyFont="1" applyFill="1" applyBorder="1" applyNumberFormat="1">
      <alignment vertical="top"/>
    </xf>
    <xf numFmtId="49" fontId="0" fillId="45" borderId="19" xfId="0" applyFont="1" applyFill="1" applyBorder="1" applyNumberFormat="1">
      <alignment vertical="top"/>
    </xf>
    <xf numFmtId="0" fontId="23" fillId="0" borderId="0" xfId="0" applyFont="1" applyNumberFormat="1">
      <alignment vertical="center" wrapText="1"/>
    </xf>
    <xf numFmtId="0" fontId="40"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center" vertical="center" wrapText="1"/>
    </xf>
    <xf numFmtId="49" fontId="0" fillId="0" borderId="16" xfId="0" applyFont="1" applyBorder="1" applyNumberFormat="1">
      <alignment vertical="top"/>
    </xf>
    <xf numFmtId="49" fontId="0" fillId="0" borderId="16" xfId="0" applyFont="1" applyBorder="1" applyNumberFormat="1">
      <alignment horizontal="center" vertical="top"/>
    </xf>
    <xf numFmtId="49" fontId="0" fillId="0" borderId="17" xfId="0" applyFont="1" applyBorder="1" applyNumberFormat="1">
      <alignment horizontal="center" vertical="top"/>
    </xf>
    <xf numFmtId="49" fontId="0" fillId="5" borderId="14" xfId="0" applyFont="1" applyFill="1" applyBorder="1" applyNumberFormat="1">
      <alignment vertical="top"/>
    </xf>
    <xf numFmtId="49" fontId="0" fillId="46" borderId="14" xfId="0" applyFont="1" applyFill="1" applyBorder="1" applyNumberFormat="1">
      <alignment vertical="top"/>
    </xf>
    <xf numFmtId="49" fontId="0" fillId="3" borderId="14" xfId="0" applyFont="1" applyFill="1" applyBorder="1" applyNumberFormat="1">
      <alignment vertical="top"/>
    </xf>
    <xf numFmtId="49" fontId="0" fillId="0" borderId="0" xfId="0" applyFont="1" applyNumberFormat="1">
      <alignment vertical="top"/>
    </xf>
    <xf numFmtId="0" fontId="23" fillId="0" borderId="0" xfId="0" applyFont="1" applyNumberFormat="1">
      <alignment horizontal="center" vertical="center" wrapText="1"/>
    </xf>
    <xf numFmtId="0" fontId="36" fillId="37" borderId="0" xfId="0" applyFont="1" applyFill="1" applyNumberFormat="1">
      <alignment vertical="center" wrapText="1"/>
    </xf>
    <xf numFmtId="0" fontId="34" fillId="0" borderId="0" xfId="0" applyFont="1" applyNumberFormat="1">
      <alignment horizontal="left" vertical="center" indent="1"/>
    </xf>
    <xf numFmtId="0" fontId="0" fillId="37" borderId="0" xfId="0" applyFont="1" applyFill="1" applyNumberFormat="1">
      <alignment horizontal="right" vertical="center" wrapText="1" indent="1"/>
    </xf>
    <xf numFmtId="0" fontId="0" fillId="37" borderId="0" xfId="0" applyFont="1" applyFill="1" applyNumberFormat="1">
      <alignment horizontal="left" vertical="center" wrapText="1" indent="1"/>
    </xf>
    <xf numFmtId="14" fontId="23" fillId="37" borderId="0" xfId="0" applyFont="1" applyFill="1" applyNumberFormat="1">
      <alignment horizontal="center" vertical="center" wrapText="1"/>
    </xf>
    <xf numFmtId="165" fontId="23" fillId="0" borderId="16" xfId="0" applyFont="1" applyBorder="1" applyNumberFormat="1">
      <alignment horizontal="center" vertical="center" wrapText="1"/>
    </xf>
    <xf numFmtId="49" fontId="44" fillId="0" borderId="17" xfId="0" applyFont="1" applyBorder="1" applyNumberFormat="1">
      <alignment horizontal="center" vertical="center" wrapText="1"/>
    </xf>
    <xf numFmtId="49" fontId="23" fillId="0" borderId="0" xfId="0" applyFont="1" applyNumberFormat="1">
      <alignment horizontal="center" vertical="center" wrapText="1"/>
    </xf>
    <xf numFmtId="0" fontId="23" fillId="0" borderId="25" xfId="0" applyFont="1" applyBorder="1" applyNumberFormat="1">
      <alignment horizontal="center" vertical="center" wrapText="1"/>
    </xf>
    <xf numFmtId="49" fontId="0" fillId="47" borderId="14" xfId="0" applyFont="1" applyFill="1" applyBorder="1" applyNumberFormat="1">
      <alignment vertical="top"/>
    </xf>
    <xf numFmtId="0" fontId="45" fillId="0" borderId="0" xfId="0" applyFont="1" applyNumberFormat="1">
      <alignment horizontal="center" vertical="center" wrapText="1"/>
    </xf>
    <xf numFmtId="0" fontId="96" fillId="0" borderId="0" xfId="0" applyFont="1" applyNumberFormat="1">
      <alignment horizontal="left" vertical="center" wrapText="1"/>
    </xf>
    <xf numFmtId="0" fontId="96" fillId="0" borderId="0" xfId="0" applyFont="1" applyNumberFormat="1">
      <alignment horizontal="left" vertical="center" wrapText="1"/>
    </xf>
    <xf numFmtId="14" fontId="96" fillId="37" borderId="0" xfId="0" applyFont="1" applyFill="1" applyNumberFormat="1">
      <alignment horizontal="left" vertical="center" wrapText="1"/>
    </xf>
    <xf numFmtId="14" fontId="97" fillId="0" borderId="0" xfId="0" applyFont="1" applyNumberFormat="1">
      <alignment horizontal="center" vertical="center" wrapText="1"/>
    </xf>
    <xf numFmtId="0" fontId="96" fillId="0" borderId="0" xfId="0" applyFont="1" applyNumberFormat="1">
      <alignment horizontal="left" vertical="center" wrapText="1"/>
    </xf>
    <xf numFmtId="14" fontId="98" fillId="0" borderId="14" xfId="0" applyFont="1" applyBorder="1" applyNumberFormat="1">
      <alignment horizontal="left" vertical="center" wrapText="1"/>
    </xf>
    <xf numFmtId="0" fontId="55" fillId="0" borderId="0" xfId="0" applyFont="1" applyNumberFormat="1">
      <alignment vertical="center"/>
    </xf>
    <xf numFmtId="49" fontId="23" fillId="40" borderId="21" xfId="0" applyFont="1" applyFill="1" applyBorder="1" applyNumberFormat="1">
      <alignment horizontal="center" vertical="center" wrapText="1"/>
    </xf>
    <xf numFmtId="49" fontId="23" fillId="38" borderId="25" xfId="0" applyFont="1" applyFill="1" applyBorder="1" applyNumberFormat="1">
      <alignment horizontal="center" vertical="center" wrapText="1"/>
    </xf>
    <xf numFmtId="49" fontId="54" fillId="0" borderId="14" xfId="0" applyFont="1" applyBorder="1" applyNumberFormat="1">
      <alignment horizontal="left" vertical="center" wrapText="1"/>
    </xf>
    <xf numFmtId="14" fontId="23" fillId="43" borderId="25" xfId="0" applyFont="1" applyFill="1" applyBorder="1" applyNumberFormat="1">
      <alignment horizontal="left" vertical="center" wrapText="1" indent="1"/>
    </xf>
    <xf numFmtId="49" fontId="23" fillId="40" borderId="16" xfId="0" applyFont="1" applyFill="1" applyBorder="1" applyNumberFormat="1">
      <alignment horizontal="right" vertical="center" wrapText="1"/>
    </xf>
    <xf numFmtId="0" fontId="55" fillId="0" borderId="25" xfId="0" applyFont="1" applyBorder="1" applyNumberFormat="1">
      <alignment horizontal="center" vertical="center" wrapText="1"/>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0" borderId="25" xfId="0" applyFont="1" applyBorder="1" applyNumberFormat="1">
      <alignment horizontal="center" vertical="center" wrapText="1"/>
    </xf>
    <xf numFmtId="49" fontId="23" fillId="0" borderId="16" xfId="0" applyFont="1" applyBorder="1" applyNumberFormat="1">
      <alignment horizontal="center" vertical="top"/>
    </xf>
    <xf numFmtId="0" fontId="44" fillId="0" borderId="26" xfId="0" applyFont="1" applyBorder="1" applyNumberFormat="1">
      <alignment vertical="top" wrapText="1"/>
    </xf>
    <xf numFmtId="0" fontId="44" fillId="0" borderId="0" xfId="0" applyFont="1" applyNumberFormat="1">
      <alignment vertical="top" wrapText="1"/>
    </xf>
    <xf numFmtId="0" fontId="55" fillId="0" borderId="14" xfId="0" applyFont="1" applyBorder="1" applyNumberFormat="1">
      <alignment horizontal="center" vertical="center" wrapText="1"/>
    </xf>
    <xf numFmtId="0" fontId="54" fillId="0" borderId="25" xfId="0" applyFont="1" applyBorder="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0" fontId="54" fillId="0" borderId="24" xfId="0" applyFont="1" applyBorder="1" applyNumberFormat="1">
      <alignment vertical="center"/>
    </xf>
    <xf numFmtId="0" fontId="23" fillId="0" borderId="15" xfId="0" applyFont="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3" fontId="23" fillId="39" borderId="16" xfId="0" applyFont="1" applyFill="1" applyBorder="1" applyNumberFormat="1">
      <alignment horizontal="right" vertical="center" wrapText="1"/>
      <protection locked="0"/>
    </xf>
    <xf numFmtId="49" fontId="34" fillId="39" borderId="14" xfId="0" applyFont="1" applyFill="1" applyBorder="1" applyNumberFormat="1">
      <alignment horizontal="left" vertical="center" wrapText="1"/>
      <protection locked="0"/>
    </xf>
    <xf numFmtId="0" fontId="34" fillId="0" borderId="0" xfId="0" applyFont="1" applyNumberFormat="1">
      <alignment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wrapText="1"/>
    </xf>
    <xf numFmtId="0" fontId="0" fillId="0" borderId="22"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49" fontId="44" fillId="37" borderId="17" xfId="0" applyFont="1" applyFill="1" applyBorder="1" applyNumberFormat="1">
      <alignment horizontal="center" vertical="center" wrapText="1"/>
    </xf>
    <xf numFmtId="0" fontId="23" fillId="0" borderId="0" xfId="0" applyFont="1" applyNumberFormat="1">
      <alignment horizontal="left" vertical="center" wrapText="1" indent="1"/>
    </xf>
    <xf numFmtId="0" fontId="86" fillId="0" borderId="19" xfId="0" applyFont="1" applyBorder="1" applyNumberFormat="1">
      <alignment horizontal="center" vertical="center" wrapText="1"/>
    </xf>
    <xf numFmtId="49" fontId="54" fillId="0" borderId="0" xfId="0" applyFont="1" applyNumberFormat="1">
      <alignment vertical="top"/>
    </xf>
    <xf numFmtId="0" fontId="99" fillId="0" borderId="0" xfId="0" applyFont="1" applyNumberFormat="1">
      <alignment vertical="center" wrapText="1"/>
    </xf>
    <xf numFmtId="0" fontId="0" fillId="0" borderId="0" xfId="0" applyFont="1" applyNumberFormat="1">
      <alignment vertical="top"/>
    </xf>
    <xf numFmtId="49" fontId="0" fillId="0" borderId="14" xfId="0" applyFont="1" applyBorder="1" applyNumberFormat="1">
      <alignment vertical="top"/>
    </xf>
    <xf numFmtId="49" fontId="23" fillId="0" borderId="0" xfId="0" applyFont="1" applyNumberFormat="1">
      <alignment vertical="top"/>
    </xf>
    <xf numFmtId="0" fontId="23" fillId="0" borderId="14" xfId="0" applyFont="1" applyBorder="1" applyNumberFormat="1">
      <alignment horizontal="left" vertical="top" wrapText="1"/>
    </xf>
    <xf numFmtId="49" fontId="100" fillId="0" borderId="0" xfId="0" applyFont="1" applyNumberFormat="1">
      <alignment horizontal="center" vertical="top" wrapText="1"/>
    </xf>
    <xf numFmtId="49" fontId="100" fillId="0" borderId="0" xfId="0" applyFont="1" applyNumberFormat="1">
      <alignment vertical="top" wrapText="1"/>
    </xf>
    <xf numFmtId="49" fontId="96" fillId="34" borderId="14" xfId="0" applyFont="1" applyFill="1" applyBorder="1" applyNumberFormat="1">
      <alignment horizontal="center" vertical="top" wrapText="1"/>
    </xf>
    <xf numFmtId="49" fontId="100" fillId="0" borderId="0" xfId="0" applyFont="1" applyNumberFormat="1">
      <alignment horizontal="left" vertical="top" wrapText="1"/>
    </xf>
    <xf numFmtId="49" fontId="100" fillId="0" borderId="14" xfId="0" applyFont="1" applyBorder="1" applyNumberFormat="1">
      <alignment horizontal="left" vertical="top" wrapText="1"/>
    </xf>
    <xf numFmtId="0" fontId="100" fillId="0" borderId="14" xfId="0" applyFont="1" applyBorder="1" applyNumberFormat="1">
      <alignment horizontal="left" vertical="top" wrapText="1"/>
    </xf>
    <xf numFmtId="0" fontId="100" fillId="34" borderId="14" xfId="0" applyFont="1" applyFill="1" applyBorder="1" applyNumberFormat="1">
      <alignment horizontal="right" vertical="center" wrapText="1"/>
    </xf>
    <xf numFmtId="49" fontId="100" fillId="0" borderId="14" xfId="0" applyFont="1" applyBorder="1" applyNumberFormat="1">
      <alignment vertical="top" wrapText="1"/>
    </xf>
    <xf numFmtId="0" fontId="100" fillId="0" borderId="19" xfId="0" applyFont="1" applyBorder="1" applyNumberFormat="1">
      <alignment horizontal="left" vertical="top" wrapText="1"/>
    </xf>
    <xf numFmtId="0" fontId="100" fillId="0" borderId="15" xfId="0" applyFont="1" applyBorder="1" applyNumberFormat="1">
      <alignment horizontal="left" vertical="top" wrapText="1"/>
    </xf>
    <xf numFmtId="0" fontId="100" fillId="0" borderId="14" xfId="0" applyFont="1" applyBorder="1" applyNumberFormat="1">
      <alignment vertical="top" wrapText="1"/>
    </xf>
    <xf numFmtId="0" fontId="96" fillId="34" borderId="14" xfId="0" applyFont="1" applyFill="1" applyBorder="1" applyNumberFormat="1">
      <alignment horizontal="center" vertical="top" wrapText="1"/>
    </xf>
    <xf numFmtId="0" fontId="100" fillId="0" borderId="0" xfId="0" applyFont="1" applyNumberFormat="1">
      <alignment vertical="top" wrapText="1"/>
    </xf>
    <xf numFmtId="0" fontId="95" fillId="0" borderId="0" xfId="0" applyFont="1" applyNumberFormat="1">
      <alignment vertical="center" wrapText="1"/>
    </xf>
    <xf numFmtId="0" fontId="22" fillId="0" borderId="0" xfId="0" applyFont="1" applyNumberFormat="1">
      <alignment horizontal="left" vertical="center" wrapText="1" indent="3"/>
    </xf>
    <xf numFmtId="3" fontId="0" fillId="0" borderId="15" xfId="0" applyFont="1" applyBorder="1" applyNumberFormat="1">
      <alignment horizontal="right" vertical="center" wrapText="1"/>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9" fontId="78" fillId="40" borderId="15" xfId="0" applyFont="1" applyFill="1" applyBorder="1" applyNumberFormat="1">
      <alignment vertical="center"/>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49" fontId="23" fillId="42" borderId="14" xfId="0" applyFont="1" applyFill="1" applyBorder="1" applyNumberFormat="1" quotePrefix="1">
      <alignment horizontal="left" vertical="center" wrapText="1"/>
      <protection locked="0"/>
    </xf>
    <xf numFmtId="14" fontId="23" fillId="43" borderId="25" xfId="0" applyFont="1" applyFill="1" applyBorder="1" applyNumberFormat="1">
      <alignment horizontal="left" vertical="center" wrapText="1"/>
    </xf>
    <xf numFmtId="0" fontId="55" fillId="37" borderId="25" xfId="0" applyFont="1" applyFill="1" applyBorder="1" applyNumberFormat="1">
      <alignment horizontal="center" vertical="center" wrapText="1"/>
    </xf>
    <xf numFmtId="0" fontId="45" fillId="37" borderId="26" xfId="0" applyFont="1" applyFill="1" applyBorder="1" applyNumberFormat="1">
      <alignment vertical="top" wrapText="1"/>
    </xf>
    <xf numFmtId="0" fontId="45" fillId="37" borderId="0" xfId="0" applyFont="1" applyFill="1" applyNumberFormat="1">
      <alignment vertical="top" wrapText="1"/>
    </xf>
    <xf numFmtId="14" fontId="23" fillId="43" borderId="31" xfId="0" applyFont="1" applyFill="1" applyBorder="1" applyNumberFormat="1">
      <alignment horizontal="left" vertical="center" wrapText="1"/>
    </xf>
    <xf numFmtId="0" fontId="55" fillId="37" borderId="14" xfId="0" applyFont="1" applyFill="1" applyBorder="1" applyNumberFormat="1">
      <alignment horizontal="center" vertical="center" wrapText="1"/>
    </xf>
    <xf numFmtId="0" fontId="48" fillId="40" borderId="17" xfId="0" applyFont="1" applyFill="1" applyBorder="1" applyNumberFormat="1">
      <alignment vertical="center"/>
    </xf>
    <xf numFmtId="0" fontId="56" fillId="0" borderId="0" xfId="0" applyFont="1" applyNumberFormat="1">
      <alignment vertical="center"/>
    </xf>
    <xf numFmtId="0" fontId="55" fillId="0" borderId="0" xfId="0" applyFont="1" applyNumberFormat="1">
      <alignment vertical="center" wrapText="1"/>
    </xf>
    <xf numFmtId="49" fontId="54" fillId="0" borderId="0" xfId="0" applyFont="1" applyNumberFormat="1">
      <alignment vertical="center" wrapText="1"/>
    </xf>
    <xf numFmtId="49" fontId="54" fillId="0" borderId="0" xfId="0" applyFont="1" applyNumberFormat="1">
      <alignment vertical="top"/>
    </xf>
    <xf numFmtId="0" fontId="93" fillId="0" borderId="0" xfId="0" applyFont="1" applyNumberFormat="1">
      <alignment vertical="center" wrapText="1"/>
    </xf>
    <xf numFmtId="0" fontId="101" fillId="0" borderId="0" xfId="0" applyFont="1" applyNumberFormat="1">
      <alignment vertical="center" wrapText="1"/>
    </xf>
    <xf numFmtId="0" fontId="54" fillId="0" borderId="0" xfId="0" applyFont="1" applyNumberFormat="1">
      <alignment vertical="center" wrapText="1"/>
    </xf>
    <xf numFmtId="0" fontId="93" fillId="0" borderId="0" xfId="0" applyFont="1" applyNumberFormat="1">
      <alignment horizontal="center" vertical="center" wrapText="1"/>
    </xf>
    <xf numFmtId="0" fontId="54" fillId="0" borderId="0" xfId="0" applyFont="1" applyNumberFormat="1">
      <alignment vertical="center" wrapText="1"/>
    </xf>
    <xf numFmtId="14" fontId="23" fillId="37" borderId="0" xfId="0" applyFont="1" applyFill="1" applyNumberFormat="1">
      <alignment horizontal="left" vertical="center" wrapText="1"/>
    </xf>
    <xf numFmtId="49" fontId="0" fillId="5" borderId="16" xfId="0" applyFont="1" applyFill="1" applyBorder="1" applyNumberFormat="1">
      <alignment vertical="top"/>
    </xf>
    <xf numFmtId="49" fontId="0" fillId="0" borderId="14" xfId="0" applyFont="1" applyBorder="1" applyNumberFormat="1">
      <alignment horizontal="left" vertical="center" wrapText="1"/>
    </xf>
    <xf numFmtId="49" fontId="23" fillId="0" borderId="0" xfId="0" applyFont="1" applyNumberFormat="1">
      <alignment vertical="center" wrapText="1"/>
    </xf>
    <xf numFmtId="0" fontId="0" fillId="0" borderId="14" xfId="0" applyFont="1" applyBorder="1" applyNumberFormat="1">
      <alignment horizontal="left" vertical="center" wrapText="1" indent="1"/>
    </xf>
    <xf numFmtId="49" fontId="0"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102" fillId="37" borderId="0" xfId="0" applyFont="1" applyFill="1" applyNumberFormat="1">
      <alignment horizontal="right" vertical="center"/>
    </xf>
    <xf numFmtId="49" fontId="100" fillId="0" borderId="15" xfId="0" applyFont="1" applyBorder="1" applyNumberFormat="1">
      <alignment horizontal="left" vertical="top" wrapText="1"/>
    </xf>
    <xf numFmtId="49" fontId="100" fillId="0" borderId="16" xfId="0" applyFont="1" applyBorder="1" applyNumberFormat="1">
      <alignment horizontal="left" vertical="top" wrapText="1"/>
    </xf>
    <xf numFmtId="0" fontId="100" fillId="0" borderId="19" xfId="0" applyFont="1" applyBorder="1" applyNumberFormat="1">
      <alignment vertical="top" wrapText="1"/>
    </xf>
    <xf numFmtId="0" fontId="100" fillId="0" borderId="38" xfId="0" applyFont="1" applyBorder="1" applyNumberFormat="1">
      <alignment horizontal="left" vertical="top" wrapText="1"/>
    </xf>
    <xf numFmtId="49" fontId="100" fillId="0" borderId="32" xfId="0" applyFont="1" applyBorder="1" applyNumberFormat="1">
      <alignment horizontal="left" vertical="top" wrapTex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0" fontId="23" fillId="0" borderId="14" xfId="0" applyFont="1" applyBorder="1" applyNumberFormat="1">
      <alignment horizontal="left" vertical="center" wrapText="1"/>
    </xf>
    <xf numFmtId="49" fontId="100" fillId="0" borderId="14" xfId="0" applyFont="1" applyBorder="1" applyNumberFormat="1">
      <alignment horizontal="center" vertical="top" wrapText="1"/>
    </xf>
    <xf numFmtId="0" fontId="100" fillId="34" borderId="14" xfId="0" applyFont="1" applyFill="1" applyBorder="1" applyNumberFormat="1">
      <alignment horizontal="center" vertical="center" wrapText="1"/>
    </xf>
    <xf numFmtId="49" fontId="100" fillId="0" borderId="39" xfId="0" applyFont="1" applyBorder="1" applyNumberFormat="1">
      <alignment horizontal="center" vertical="top" wrapText="1"/>
    </xf>
    <xf numFmtId="49" fontId="100" fillId="0" borderId="19" xfId="0" applyFont="1" applyBorder="1" applyNumberFormat="1">
      <alignment horizontal="center" vertical="top" wrapText="1"/>
    </xf>
    <xf numFmtId="49" fontId="48" fillId="40" borderId="16" xfId="0" applyFont="1" applyFill="1" applyBorder="1" applyNumberFormat="1">
      <alignment horizontal="left" vertical="center" inden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103" fillId="0" borderId="0" xfId="0" applyFont="1" applyNumberFormat="1">
      <alignment horizontal="center" vertical="center" wrapText="1"/>
    </xf>
    <xf numFmtId="0" fontId="23" fillId="0" borderId="0" xfId="0" applyFont="1" applyNumberFormat="1">
      <alignment vertical="center" wrapText="1"/>
    </xf>
    <xf numFmtId="49" fontId="23" fillId="0" borderId="0" xfId="0" applyFont="1" applyNumberFormat="1">
      <alignment vertical="top"/>
    </xf>
    <xf numFmtId="0" fontId="23" fillId="37" borderId="0" xfId="0" applyFont="1" applyFill="1" applyNumberFormat="1">
      <alignment vertical="center" wrapText="1"/>
    </xf>
    <xf numFmtId="0" fontId="23" fillId="0" borderId="40" xfId="0" applyFont="1" applyBorder="1" applyNumberFormat="1">
      <alignment vertical="center" wrapText="1"/>
    </xf>
    <xf numFmtId="0" fontId="54" fillId="0" borderId="0" xfId="0" applyFont="1" applyNumberFormat="1">
      <alignment vertical="center" wrapText="1"/>
    </xf>
    <xf numFmtId="49" fontId="23" fillId="0" borderId="0" xfId="0" applyFont="1" applyNumberFormat="1">
      <alignment vertical="top"/>
    </xf>
    <xf numFmtId="0" fontId="23" fillId="37" borderId="0" xfId="0" applyFont="1" applyFill="1" applyNumberFormat="1">
      <alignment vertical="center" wrapText="1"/>
    </xf>
    <xf numFmtId="49" fontId="23" fillId="0" borderId="0" xfId="0" applyFont="1" applyNumberFormat="1">
      <alignment vertical="top"/>
    </xf>
    <xf numFmtId="0" fontId="23" fillId="0" borderId="0" xfId="0" applyFont="1" applyNumberFormat="1">
      <alignment vertical="center"/>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40" borderId="31" xfId="0" applyFont="1" applyFill="1" applyBorder="1" applyNumberFormat="1">
      <alignment vertical="center" wrapText="1"/>
    </xf>
    <xf numFmtId="0" fontId="23" fillId="0" borderId="0" xfId="0" applyFont="1" applyNumberFormat="1">
      <alignment vertical="center" wrapText="1"/>
    </xf>
    <xf numFmtId="0" fontId="23" fillId="37" borderId="41" xfId="0" applyFont="1" applyFill="1" applyBorder="1" applyNumberFormat="1">
      <alignment vertical="center" wrapText="1"/>
    </xf>
    <xf numFmtId="0" fontId="36" fillId="37" borderId="41" xfId="0" applyFont="1" applyFill="1" applyBorder="1" applyNumberFormat="1">
      <alignment horizontal="center" wrapText="1"/>
    </xf>
    <xf numFmtId="49" fontId="78" fillId="0" borderId="41" xfId="0" applyFont="1" applyBorder="1" applyNumberFormat="1">
      <alignment vertical="top"/>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wrapText="1"/>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0" fontId="53" fillId="0" borderId="0" xfId="0" applyFont="1" applyNumberFormat="1">
      <alignment horizontal="center" vertical="center" wrapText="1"/>
    </xf>
    <xf numFmtId="49" fontId="104" fillId="0" borderId="0" xfId="0" applyFont="1" applyNumberFormat="1">
      <alignment vertical="center" wrapText="1"/>
    </xf>
    <xf numFmtId="49" fontId="53" fillId="37" borderId="0" xfId="0" applyFont="1" applyFill="1" applyNumberFormat="1">
      <alignment vertical="center" wrapText="1"/>
    </xf>
    <xf numFmtId="49" fontId="53" fillId="0" borderId="0" xfId="0" applyFont="1" applyNumberFormat="1">
      <alignment vertical="top"/>
    </xf>
    <xf numFmtId="49" fontId="53" fillId="37" borderId="0" xfId="0" applyFont="1" applyFill="1" applyNumberFormat="1">
      <alignment vertical="center"/>
    </xf>
    <xf numFmtId="49" fontId="104"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3" fontId="53" fillId="39" borderId="14" xfId="0" applyFont="1" applyFill="1" applyBorder="1" applyNumberFormat="1">
      <alignment horizontal="right" vertical="center"/>
      <protection locked="0"/>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9" fontId="23" fillId="37" borderId="0" xfId="0" applyFont="1" applyFill="1" applyNumberFormat="1">
      <alignment horizontal="center" vertical="center" wrapText="1"/>
    </xf>
    <xf numFmtId="49" fontId="55" fillId="0" borderId="15" xfId="0" applyFont="1" applyBorder="1" applyNumberFormat="1">
      <alignment horizontal="left" vertical="center" indent="1"/>
    </xf>
    <xf numFmtId="0" fontId="23" fillId="0" borderId="26" xfId="0" applyFont="1" applyBorder="1" applyNumberFormat="1">
      <alignment vertical="top" wrapText="1"/>
    </xf>
    <xf numFmtId="0" fontId="23" fillId="0" borderId="16"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center" vertical="center" wrapTex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49" fontId="96" fillId="0" borderId="14" xfId="0" applyFont="1" applyBorder="1" applyNumberFormat="1">
      <alignment horizontal="center" vertical="center" wrapText="1"/>
    </xf>
    <xf numFmtId="0" fontId="96" fillId="0" borderId="14" xfId="0" applyFont="1" applyBorder="1" applyNumberFormat="1">
      <alignment horizontal="center" vertical="center"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24" xfId="0" applyFont="1" applyBorder="1" applyNumberFormat="1">
      <alignment horizontal="center" vertical="top" wrapText="1"/>
    </xf>
    <xf numFmtId="49" fontId="100" fillId="0" borderId="38" xfId="0" applyFont="1" applyBorder="1" applyNumberFormat="1">
      <alignment horizontal="left" vertical="top" wrapText="1"/>
    </xf>
    <xf numFmtId="0" fontId="96" fillId="0" borderId="14" xfId="0" applyFont="1" applyBorder="1" applyNumberFormat="1">
      <alignment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96" fillId="0" borderId="14" xfId="0" applyFont="1" applyBorder="1" applyNumberFormat="1">
      <alignment horizontal="left" vertical="top" wrapText="1"/>
    </xf>
    <xf numFmtId="166" fontId="23" fillId="42" borderId="19" xfId="0" applyFont="1" applyFill="1" applyBorder="1" applyNumberFormat="1">
      <alignment horizontal="right" vertical="center" wrapText="1"/>
      <protection locked="0"/>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77" fillId="0" borderId="0" xfId="0" applyFont="1" applyNumberFormat="1">
      <alignment horizontal="center" vertical="center" wrapText="1"/>
    </xf>
    <xf numFmtId="4" fontId="23" fillId="42" borderId="15" xfId="0" applyFont="1" applyFill="1" applyBorder="1" applyNumberFormat="1">
      <alignment horizontal="right" vertical="center" wrapText="1"/>
      <protection locked="0"/>
    </xf>
    <xf numFmtId="166" fontId="23" fillId="42" borderId="15" xfId="0" applyFont="1" applyFill="1" applyBorder="1" applyNumberFormat="1">
      <alignment horizontal="right" vertical="center" wrapText="1"/>
      <protection locked="0"/>
    </xf>
    <xf numFmtId="166" fontId="23" fillId="38" borderId="15" xfId="0" applyFont="1" applyFill="1" applyBorder="1" applyNumberFormat="1">
      <alignment horizontal="right" vertical="center" wrapText="1"/>
    </xf>
    <xf numFmtId="4" fontId="23" fillId="42" borderId="31" xfId="0" applyFont="1" applyFill="1" applyBorder="1" applyNumberFormat="1">
      <alignment horizontal="right" vertical="center" wrapText="1"/>
      <protection locked="0"/>
    </xf>
    <xf numFmtId="49" fontId="96" fillId="34" borderId="14" xfId="0" applyFont="1" applyFill="1" applyBorder="1" applyNumberFormat="1">
      <alignment horizontal="center" vertical="top"/>
    </xf>
    <xf numFmtId="49" fontId="100" fillId="0" borderId="0" xfId="0" applyFont="1" applyNumberFormat="1">
      <alignment vertical="top"/>
    </xf>
    <xf numFmtId="49" fontId="96" fillId="0" borderId="14" xfId="0" applyFont="1" applyBorder="1" applyNumberFormat="1">
      <alignment horizontal="center" vertical="top" wrapText="1"/>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49" fontId="96" fillId="0" borderId="0" xfId="0" applyFont="1" applyNumberFormat="1">
      <alignment horizontal="center" vertical="center" wrapText="1"/>
    </xf>
    <xf numFmtId="49" fontId="96" fillId="0" borderId="0" xfId="0" applyFont="1" applyNumberFormat="1">
      <alignment horizontal="left" vertical="center" wrapText="1"/>
    </xf>
    <xf numFmtId="49" fontId="96" fillId="48" borderId="0" xfId="0" applyFont="1" applyFill="1" applyNumberFormat="1">
      <alignment horizontal="center" vertical="center" wrapText="1"/>
    </xf>
    <xf numFmtId="0" fontId="96" fillId="0" borderId="0" xfId="0" applyFont="1" applyNumberFormat="1">
      <alignmen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0" fontId="55" fillId="0" borderId="25" xfId="0" applyFont="1" applyBorder="1" applyNumberFormat="1">
      <alignment horizontal="left" vertical="center" wrapText="1" indent="1"/>
    </xf>
    <xf numFmtId="0" fontId="55" fillId="0" borderId="19" xfId="0" applyFont="1" applyBorder="1" applyNumberFormat="1">
      <alignment horizontal="left" vertical="center" wrapText="1" indent="1"/>
    </xf>
    <xf numFmtId="49" fontId="100" fillId="34" borderId="14" xfId="0" applyFont="1" applyFill="1" applyBorder="1" applyNumberFormat="1">
      <alignment horizontal="center" vertical="top" wrapText="1"/>
    </xf>
    <xf numFmtId="49" fontId="100" fillId="34" borderId="14" xfId="0" applyFont="1" applyFill="1" applyBorder="1" applyNumberFormat="1">
      <alignment horizontal="left" vertical="top" wrapText="1"/>
    </xf>
    <xf numFmtId="49" fontId="100" fillId="34" borderId="0" xfId="0" applyFont="1" applyFill="1" applyNumberFormat="1">
      <alignment horizontal="left" vertical="top" wrapText="1"/>
    </xf>
    <xf numFmtId="0" fontId="96" fillId="0" borderId="16" xfId="0" applyFont="1" applyBorder="1" applyNumberFormat="1">
      <alignment horizontal="center" vertical="center" wrapText="1"/>
    </xf>
    <xf numFmtId="0" fontId="23" fillId="0" borderId="25" xfId="0" applyFont="1" applyBorder="1" applyNumberFormat="1">
      <alignment vertical="top" wrapText="1"/>
    </xf>
    <xf numFmtId="0" fontId="23" fillId="0" borderId="25" xfId="0" applyFont="1" applyBorder="1" applyNumberFormat="1">
      <alignment vertical="top" wrapText="1"/>
    </xf>
    <xf numFmtId="0" fontId="96" fillId="0" borderId="16" xfId="0" applyFont="1" applyBorder="1" applyNumberFormat="1">
      <alignment horizontal="center" vertical="center"/>
    </xf>
    <xf numFmtId="49" fontId="55" fillId="37" borderId="14" xfId="0" applyFont="1" applyFill="1" applyBorder="1" applyNumberFormat="1">
      <alignment horizontal="center" vertical="center"/>
    </xf>
    <xf numFmtId="0" fontId="55" fillId="37" borderId="14" xfId="0" applyFont="1" applyFill="1" applyBorder="1" applyNumberFormat="1">
      <alignment horizontal="left" vertical="center" wrapText="1" indent="1"/>
    </xf>
    <xf numFmtId="0" fontId="55" fillId="37" borderId="14" xfId="0" applyFont="1" applyFill="1" applyBorder="1" applyNumberFormat="1">
      <alignment vertical="center" wrapText="1"/>
    </xf>
    <xf numFmtId="49" fontId="55" fillId="0" borderId="14" xfId="0" applyFont="1" applyBorder="1" applyNumberFormat="1">
      <alignment horizontal="center" vertical="center"/>
    </xf>
    <xf numFmtId="0" fontId="55" fillId="0" borderId="14" xfId="0" applyFont="1" applyBorder="1" applyNumberFormat="1">
      <alignment horizontal="left" vertical="center" wrapText="1" inden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2" fontId="23" fillId="0" borderId="25" xfId="0" applyFont="1" applyBorder="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23" fillId="0" borderId="25" xfId="0" applyFont="1" applyBorder="1" applyNumberFormat="1">
      <alignment horizontal="left"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49" fontId="34" fillId="0" borderId="16" xfId="0" applyFont="1" applyBorder="1" applyNumberFormat="1">
      <alignment horizontal="left" vertical="center" wrapText="1"/>
    </xf>
    <xf numFmtId="49" fontId="34" fillId="0" borderId="17" xfId="0" applyFont="1" applyBorder="1" applyNumberFormat="1">
      <alignment horizontal="left" vertical="center"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 fontId="23" fillId="0" borderId="19" xfId="0" applyFont="1" applyBorder="1" applyNumberFormat="1">
      <alignment horizontal="center" vertical="center" wrapText="1"/>
    </xf>
    <xf numFmtId="4" fontId="23" fillId="0" borderId="34" xfId="0" applyFont="1" applyBorder="1" applyNumberFormat="1">
      <alignment horizontal="center" vertical="center" wrapText="1"/>
    </xf>
    <xf numFmtId="49" fontId="34" fillId="0" borderId="39" xfId="0" applyFont="1" applyBorder="1" applyNumberFormat="1">
      <alignment horizontal="left" vertical="center" wrapText="1"/>
    </xf>
    <xf numFmtId="49" fontId="34" fillId="0" borderId="32" xfId="0" applyFont="1" applyBorder="1" applyNumberFormat="1">
      <alignment horizontal="left" vertical="center" wrapText="1"/>
    </xf>
    <xf numFmtId="0" fontId="23" fillId="0" borderId="38" xfId="0" applyFont="1" applyBorder="1" applyNumberFormat="1">
      <alignment vertical="center" wrapText="1"/>
    </xf>
    <xf numFmtId="0" fontId="23" fillId="0" borderId="34" xfId="0" applyFont="1" applyBorder="1" applyNumberFormat="1">
      <alignment horizontal="left" vertical="center" wrapText="1"/>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 fontId="23" fillId="0" borderId="42"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14" xfId="0" applyFont="1" applyBorder="1" applyNumberFormat="1">
      <alignment horizontal="left" vertical="center" wrapText="1"/>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0" fontId="55" fillId="0" borderId="14" xfId="0" applyFont="1" applyBorder="1" applyNumberFormat="1">
      <alignment horizontal="left" vertical="center" indent="1"/>
    </xf>
    <xf numFmtId="49" fontId="48" fillId="0" borderId="21" xfId="0" applyFont="1" applyBorder="1" applyNumberFormat="1">
      <alignment horizontal="right" vertical="center"/>
    </xf>
    <xf numFmtId="0" fontId="23" fillId="43" borderId="14" xfId="0" applyFont="1" applyFill="1" applyBorder="1" applyNumberFormat="1">
      <alignment horizontal="left" vertical="center" wrapText="1" inden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0" fontId="66" fillId="37" borderId="0" xfId="0" applyFont="1" applyFill="1" applyNumberFormat="1">
      <alignment horizontal="left" vertical="center" wrapText="1" indent="1"/>
    </xf>
    <xf numFmtId="0" fontId="23" fillId="0" borderId="0" xfId="0" applyFont="1" applyNumberFormat="1">
      <alignment horizontal="left" vertical="center" wrapText="1" indent="1"/>
    </xf>
    <xf numFmtId="49" fontId="34" fillId="39" borderId="15" xfId="0" applyFont="1" applyFill="1" applyBorder="1" applyNumberFormat="1">
      <alignment horizontal="left" vertical="center" wrapText="1"/>
      <protection locked="0"/>
    </xf>
    <xf numFmtId="49" fontId="23" fillId="0" borderId="0" xfId="0" applyFont="1" applyNumberFormat="1">
      <alignment horizontal="center" vertical="center" wrapText="1"/>
    </xf>
    <xf numFmtId="0" fontId="23" fillId="0" borderId="21" xfId="0" applyFont="1" applyBorder="1" applyNumberFormat="1">
      <alignment vertical="center" wrapText="1"/>
    </xf>
    <xf numFmtId="0" fontId="23" fillId="0" borderId="29" xfId="0" applyFont="1" applyBorder="1" applyNumberFormat="1">
      <alignment vertical="center" wrapText="1"/>
    </xf>
    <xf numFmtId="49" fontId="23" fillId="40" borderId="43" xfId="0" applyFont="1" applyFill="1" applyBorder="1" applyNumberFormat="1">
      <alignment horizontal="center" vertical="center" wrapText="1"/>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53" fillId="0" borderId="0" xfId="0" applyFont="1" applyNumberFormat="1">
      <alignment vertical="top"/>
    </xf>
    <xf numFmtId="49" fontId="53" fillId="0" borderId="0" xfId="0" applyFont="1" applyNumberFormat="1">
      <alignment vertical="center" wrapText="1"/>
    </xf>
    <xf numFmtId="0" fontId="53" fillId="0" borderId="0" xfId="0" applyFont="1" applyNumberFormat="1">
      <alignment vertical="center" wrapText="1"/>
    </xf>
    <xf numFmtId="49" fontId="99" fillId="0" borderId="0" xfId="0" applyFont="1" applyNumberFormat="1">
      <alignment vertical="center" wrapText="1"/>
    </xf>
    <xf numFmtId="49" fontId="0" fillId="0" borderId="0" xfId="0" applyFont="1" applyNumberFormat="1">
      <alignment vertical="center" wrapText="1"/>
    </xf>
    <xf numFmtId="49" fontId="40" fillId="49" borderId="0" xfId="0" applyFont="1" applyFill="1" applyNumberFormat="1">
      <alignment horizontal="center" vertical="center"/>
    </xf>
    <xf numFmtId="0" fontId="0" fillId="50" borderId="0" xfId="0" applyFont="1" applyFill="1" applyNumberFormat="1">
      <alignment horizontal="left" vertical="center"/>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49" fontId="23" fillId="0" borderId="46" xfId="0" applyFont="1" applyBorder="1" applyNumberFormat="1">
      <alignment vertical="center"/>
    </xf>
    <xf numFmtId="49" fontId="23" fillId="0" borderId="47"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49" fontId="23" fillId="0" borderId="14" xfId="0" applyFont="1" applyBorder="1" applyNumberFormat="1">
      <alignment vertical="top"/>
    </xf>
    <xf numFmtId="49" fontId="0" fillId="0" borderId="0" xfId="0" applyFont="1" applyNumberFormat="1">
      <alignment vertical="top"/>
    </xf>
    <xf numFmtId="0" fontId="23" fillId="0" borderId="0" xfId="0" applyFont="1" applyNumberFormat="1">
      <alignment vertical="center"/>
    </xf>
    <xf numFmtId="49" fontId="23" fillId="0" borderId="16" xfId="0" applyFont="1" applyBorder="1" applyNumberFormat="1">
      <alignment vertical="top"/>
    </xf>
    <xf numFmtId="0" fontId="0" fillId="0" borderId="0" xfId="0" applyFont="1" applyNumberFormat="1">
      <alignment vertical="center"/>
    </xf>
    <xf numFmtId="0" fontId="23" fillId="0" borderId="0" xfId="0" applyFont="1" applyNumberFormat="1">
      <alignment vertical="top"/>
    </xf>
    <xf numFmtId="49" fontId="23" fillId="0" borderId="14" xfId="0" applyFont="1" applyBorder="1" applyNumberFormat="1">
      <alignment vertical="top"/>
    </xf>
    <xf numFmtId="49" fontId="0" fillId="0" borderId="16" xfId="0" applyFont="1" applyBorder="1" applyNumberFormat="1">
      <alignmen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0" xfId="0" applyFont="1" applyNumberFormat="1">
      <alignment vertical="top"/>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49" fontId="23" fillId="34" borderId="25" xfId="0" applyFont="1" applyFill="1" applyBorder="1" applyNumberFormat="1">
      <alignment vertical="top"/>
    </xf>
    <xf numFmtId="49" fontId="23" fillId="34" borderId="14" xfId="0" applyFont="1" applyFill="1" applyBorder="1" applyNumberFormat="1">
      <alignment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49" fontId="0" fillId="0" borderId="0" xfId="0" applyFont="1" applyNumberFormat="1">
      <alignment vertical="center"/>
    </xf>
    <xf numFmtId="49" fontId="40" fillId="49" borderId="16" xfId="0" applyFont="1" applyFill="1" applyBorder="1" applyNumberFormat="1">
      <alignment horizontal="right" vertical="center"/>
    </xf>
    <xf numFmtId="49" fontId="23" fillId="0" borderId="0" xfId="0" applyFont="1" applyNumberFormat="1">
      <alignment vertical="center"/>
    </xf>
    <xf numFmtId="0" fontId="0" fillId="50" borderId="0" xfId="0" applyFont="1" applyFill="1" applyNumberFormat="1">
      <alignment horizontal="right" vertical="center"/>
    </xf>
    <xf numFmtId="0" fontId="108" fillId="0" borderId="49" xfId="0" applyFont="1" applyBorder="1" applyNumberFormat="1">
      <alignment horizontal="left" vertical="center" indent="1"/>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23" fillId="37" borderId="0" xfId="0" applyFont="1" applyFill="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36" fillId="37" borderId="41" xfId="0" applyFont="1" applyFill="1" applyBorder="1" applyNumberFormat="1">
      <alignment horizontal="center" wrapText="1"/>
    </xf>
    <xf numFmtId="49" fontId="78" fillId="0" borderId="41" xfId="0" applyFont="1" applyBorder="1" applyNumberFormat="1">
      <alignment vertical="top"/>
    </xf>
    <xf numFmtId="0" fontId="0" fillId="0" borderId="14" xfId="0" applyFont="1" applyBorder="1" applyNumberFormat="1">
      <alignment horizontal="center" vertical="center" wrapText="1"/>
    </xf>
    <xf numFmtId="0" fontId="23" fillId="0" borderId="0" xfId="0" applyFont="1" applyNumberFormat="1">
      <alignment horizontal="left" vertical="center" wrapText="1" indent="3"/>
    </xf>
    <xf numFmtId="0" fontId="23" fillId="0" borderId="0" xfId="0" applyFont="1" applyNumberFormat="1">
      <alignment horizontal="left" vertical="center" wrapText="1" indent="3"/>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23" fillId="0" borderId="14" xfId="0" applyFont="1" applyBorder="1" applyNumberFormat="1">
      <alignment horizontal="center" vertical="center" wrapText="1"/>
    </xf>
    <xf numFmtId="0" fontId="23" fillId="0" borderId="0" xfId="0" applyFont="1" applyNumberFormat="1">
      <alignment vertical="center" wrapText="1"/>
    </xf>
    <xf numFmtId="0" fontId="23" fillId="37" borderId="41" xfId="0" applyFont="1" applyFill="1" applyBorder="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7" borderId="41" xfId="0" applyFont="1" applyFill="1" applyBorder="1" applyNumberFormat="1">
      <alignment vertical="center" wrapText="1"/>
    </xf>
    <xf numFmtId="0" fontId="23" fillId="42" borderId="14" xfId="0" applyFont="1" applyFill="1" applyBorder="1" applyNumberFormat="1">
      <alignment horizontal="left" vertical="center" wrapText="1" indent="1"/>
      <protection locked="0"/>
    </xf>
    <xf numFmtId="49" fontId="54" fillId="49"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49" fontId="109" fillId="0" borderId="18" xfId="0" applyFont="1" applyBorder="1" applyNumberFormat="1">
      <alignment vertical="top"/>
    </xf>
    <xf numFmtId="0" fontId="0" fillId="0" borderId="0" xfId="0" applyFont="1" applyNumberFormat="1">
      <alignment vertical="top"/>
    </xf>
    <xf numFmtId="0" fontId="54" fillId="0" borderId="0" xfId="0" applyFont="1" applyNumberFormat="1">
      <alignment vertical="center" wrapText="1"/>
    </xf>
    <xf numFmtId="49" fontId="34" fillId="42" borderId="14" xfId="0" applyFont="1" applyFill="1" applyBorder="1" applyNumberFormat="1">
      <alignment horizontal="left" vertical="center" wrapText="1"/>
      <protection locked="0"/>
    </xf>
    <xf numFmtId="0" fontId="23" fillId="0" borderId="16" xfId="0" applyFont="1" applyBorder="1" applyNumberFormat="1">
      <alignment horizontal="left" vertical="center"/>
    </xf>
    <xf numFmtId="0" fontId="0" fillId="0" borderId="16" xfId="0" applyFont="1" applyBorder="1" applyNumberFormat="1">
      <alignment horizontal="left" vertical="center"/>
    </xf>
    <xf numFmtId="49" fontId="34" fillId="42" borderId="14" xfId="0" applyFont="1" applyFill="1" applyBorder="1" applyNumberFormat="1">
      <alignment horizontal="left" vertical="center" wrapText="1"/>
      <protection locked="0"/>
    </xf>
    <xf numFmtId="0" fontId="23" fillId="37" borderId="28" xfId="0" applyFont="1" applyFill="1" applyBorder="1" applyNumberFormat="1">
      <alignment horizontal="right" vertical="center" wrapText="1" inden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49" fontId="48" fillId="40" borderId="17" xfId="0" applyFont="1" applyFill="1" applyBorder="1" applyNumberFormat="1">
      <alignment horizontal="left" vertical="center" indent="1"/>
    </xf>
    <xf numFmtId="4" fontId="23" fillId="42" borderId="33" xfId="0" applyFont="1" applyFill="1" applyBorder="1" applyNumberFormat="1">
      <alignment horizontal="right" vertical="center" wrapText="1"/>
      <protection locked="0"/>
    </xf>
    <xf numFmtId="0" fontId="23" fillId="37" borderId="0" xfId="0" applyFont="1" applyFill="1" applyNumberFormat="1">
      <alignment vertical="center" wrapText="1"/>
    </xf>
    <xf numFmtId="0" fontId="23" fillId="0" borderId="40" xfId="0" applyFont="1" applyBorder="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99" fillId="40" borderId="45" xfId="0" applyFont="1" applyFill="1" applyBorder="1" applyNumberFormat="1">
      <alignment horizontal="center" vertical="center"/>
    </xf>
    <xf numFmtId="49" fontId="110" fillId="40" borderId="45" xfId="0" applyFont="1" applyFill="1" applyBorder="1" applyNumberFormat="1">
      <alignment horizontal="left" vertical="center" indent="1"/>
    </xf>
    <xf numFmtId="0" fontId="53" fillId="43" borderId="14" xfId="0" applyFont="1" applyFill="1" applyBorder="1" applyNumberFormat="1">
      <alignment horizontal="left" vertical="center" wrapText="1"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0" fontId="23" fillId="40" borderId="55" xfId="0" applyFont="1" applyFill="1" applyBorder="1" applyNumberFormat="1">
      <alignment vertical="center" wrapText="1"/>
    </xf>
    <xf numFmtId="0" fontId="23" fillId="37" borderId="41" xfId="0" applyFont="1" applyFill="1" applyBorder="1" applyNumberFormat="1">
      <alignment vertical="center" wrapTex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43" borderId="14" xfId="0" applyFont="1" applyFill="1" applyBorder="1" applyNumberFormat="1">
      <alignment horizontal="left" vertical="center" wrapText="1" indent="1"/>
    </xf>
    <xf numFmtId="0" fontId="0" fillId="40" borderId="52" xfId="0" applyFont="1" applyFill="1" applyBorder="1" applyNumberFormat="1">
      <alignment horizontal="left" vertical="center"/>
    </xf>
    <xf numFmtId="0" fontId="23" fillId="37" borderId="14" xfId="0" applyFont="1" applyFill="1" applyBorder="1" applyNumberFormat="1">
      <alignment horizontal="center" vertical="center" wrapText="1"/>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0" fontId="23" fillId="50" borderId="0" xfId="0" applyFont="1" applyFill="1" applyNumberFormat="1">
      <alignment horizontal="left" vertical="center"/>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23" fillId="37" borderId="14" xfId="0" applyFont="1" applyFill="1" applyBorder="1" applyNumberFormat="1">
      <alignment horizontal="left" vertical="center" wrapText="1"/>
    </xf>
    <xf numFmtId="49" fontId="0" fillId="0" borderId="14" xfId="0" applyFont="1" applyBorder="1" applyNumberFormat="1">
      <alignment horizontal="center" vertical="center" wrapText="1"/>
    </xf>
    <xf numFmtId="49" fontId="0" fillId="0" borderId="14" xfId="0" applyFont="1" applyBorder="1" applyNumberFormat="1">
      <alignment horizontal="center" vertical="center"/>
    </xf>
    <xf numFmtId="0" fontId="23" fillId="37" borderId="21" xfId="0" applyFont="1" applyFill="1" applyBorder="1" applyNumberFormat="1">
      <alignment vertical="center" wrapText="1"/>
    </xf>
    <xf numFmtId="49" fontId="55" fillId="0" borderId="0" xfId="0" applyFont="1" applyNumberFormat="1">
      <alignment vertical="top"/>
    </xf>
    <xf numFmtId="0" fontId="55" fillId="0" borderId="41" xfId="0" applyFont="1" applyBorder="1" applyNumberFormat="1">
      <alignment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0" fillId="38" borderId="14" xfId="0" applyFont="1" applyFill="1" applyBorder="1" applyNumberFormat="1">
      <alignment horizontal="center" vertical="center"/>
    </xf>
    <xf numFmtId="49" fontId="23" fillId="0" borderId="24" xfId="0" applyFont="1" applyBorder="1" applyNumberFormat="1">
      <alignment vertical="top"/>
    </xf>
    <xf numFmtId="0" fontId="23" fillId="0" borderId="24" xfId="0" applyFont="1" applyBorder="1" applyNumberFormat="1">
      <alignment vertical="center" wrapText="1"/>
    </xf>
    <xf numFmtId="4" fontId="0" fillId="39" borderId="14" xfId="0" applyFont="1" applyFill="1" applyBorder="1" applyNumberFormat="1">
      <alignment horizontal="right" vertical="center" wrapText="1"/>
      <protection locked="0"/>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0" fontId="23" fillId="0" borderId="40" xfId="0" applyFont="1" applyBorder="1" applyNumberFormat="1">
      <alignment vertical="center"/>
    </xf>
    <xf numFmtId="49" fontId="48" fillId="40" borderId="17" xfId="0" applyFont="1" applyFill="1" applyBorder="1" applyNumberFormat="1">
      <alignment horizontal="left" vertical="center" indent="1"/>
    </xf>
    <xf numFmtId="49" fontId="23" fillId="42" borderId="19" xfId="0" applyFont="1" applyFill="1" applyBorder="1" applyNumberFormat="1">
      <alignment horizontal="left" vertical="center" wrapText="1" indent="1"/>
      <protection locked="0"/>
    </xf>
    <xf numFmtId="0" fontId="22" fillId="0" borderId="0" xfId="0" applyFont="1" applyNumberFormat="1">
      <alignment vertical="center" wrapText="1"/>
    </xf>
    <xf numFmtId="0" fontId="23" fillId="37" borderId="29" xfId="0" applyFont="1" applyFill="1" applyBorder="1" applyNumberFormat="1">
      <alignment vertical="center" wrapText="1"/>
    </xf>
    <xf numFmtId="0" fontId="55" fillId="37" borderId="21" xfId="0" applyFont="1" applyFill="1" applyBorder="1" applyNumberFormat="1">
      <alignment horizontal="center" vertical="center" wrapText="1"/>
    </xf>
    <xf numFmtId="49" fontId="77" fillId="0" borderId="0" xfId="0" applyFont="1" applyNumberFormat="1">
      <alignment vertical="center" wrapText="1"/>
    </xf>
    <xf numFmtId="0" fontId="111" fillId="37" borderId="0" xfId="0" applyFont="1" applyFill="1" applyNumberFormat="1">
      <alignment vertical="center" wrapText="1"/>
    </xf>
    <xf numFmtId="0" fontId="23" fillId="0" borderId="0" xfId="0" applyFont="1" applyNumberFormat="1">
      <alignment vertical="center"/>
    </xf>
    <xf numFmtId="49" fontId="55" fillId="37" borderId="0" xfId="0" applyFont="1" applyFill="1" applyNumberFormat="1">
      <alignment horizontal="center" vertical="center" wrapText="1"/>
    </xf>
    <xf numFmtId="0" fontId="23" fillId="0" borderId="0" xfId="0" applyFont="1" applyNumberFormat="1">
      <alignment horizontal="left" vertical="center" wrapText="1"/>
    </xf>
    <xf numFmtId="0" fontId="55" fillId="0" borderId="0" xfId="0" applyFont="1" applyNumberFormat="1">
      <alignment vertical="center"/>
    </xf>
    <xf numFmtId="0" fontId="23" fillId="0" borderId="0" xfId="0" applyFont="1" applyNumberFormat="1">
      <alignment horizontal="left" vertical="center" wrapText="1" indent="1"/>
    </xf>
    <xf numFmtId="0" fontId="23" fillId="0" borderId="0" xfId="0" applyFont="1" applyNumberFormat="1">
      <alignment horizontal="right" vertical="top" wrapText="1"/>
    </xf>
    <xf numFmtId="0" fontId="112" fillId="37" borderId="0" xfId="0" applyFont="1" applyFill="1" applyNumberFormat="1">
      <alignment vertical="center" wrapText="1"/>
    </xf>
    <xf numFmtId="49"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164" fontId="23" fillId="39" borderId="14" xfId="0" applyFont="1" applyFill="1" applyBorder="1" applyNumberFormat="1">
      <alignment horizontal="right" vertical="center" wrapText="1"/>
      <protection locked="0"/>
    </xf>
    <xf numFmtId="0" fontId="53" fillId="0" borderId="14" xfId="0" applyFont="1" applyBorder="1" applyNumberFormat="1">
      <alignment vertical="top" wrapText="1"/>
    </xf>
    <xf numFmtId="0" fontId="23" fillId="43" borderId="14" xfId="0" applyFont="1" applyFill="1" applyBorder="1" applyNumberFormat="1">
      <alignment horizontal="left" vertical="center" wrapText="1" indent="6"/>
      <protection locked="0"/>
    </xf>
    <xf numFmtId="0" fontId="23" fillId="0" borderId="0" xfId="0" applyFont="1" applyNumberFormat="1">
      <alignment vertical="center"/>
    </xf>
    <xf numFmtId="0" fontId="113" fillId="0" borderId="0" xfId="0" applyFont="1" applyNumberFormat="1">
      <alignment vertical="center"/>
    </xf>
    <xf numFmtId="0" fontId="113"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113"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23" fillId="0" borderId="0" xfId="0" applyFont="1" applyNumberFormat="1">
      <alignment horizontal="left" vertical="center" indent="1"/>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114" fillId="40" borderId="17" xfId="0" applyFont="1" applyFill="1" applyBorder="1" applyNumberFormat="1">
      <alignment horizontal="left" vertical="center"/>
    </xf>
    <xf numFmtId="0" fontId="23" fillId="37" borderId="0" xfId="0" applyFont="1" applyFill="1" applyNumberFormat="1">
      <alignment horizontal="left" vertical="center" wrapText="1"/>
    </xf>
    <xf numFmtId="0" fontId="0" fillId="0" borderId="0" xfId="0" applyFont="1" applyNumberFormat="1">
      <alignment horizontal="left" vertical="center"/>
    </xf>
    <xf numFmtId="49" fontId="85" fillId="37" borderId="21" xfId="0" applyFont="1" applyFill="1" applyBorder="1" applyNumberFormat="1">
      <alignment horizontal="left" vertical="center" wrapText="1"/>
    </xf>
    <xf numFmtId="49" fontId="78" fillId="40" borderId="16" xfId="0" applyFont="1" applyFill="1" applyBorder="1" applyNumberFormat="1">
      <alignment horizontal="left" vertical="center"/>
    </xf>
    <xf numFmtId="49" fontId="106" fillId="40" borderId="16" xfId="0" applyFont="1" applyFill="1" applyBorder="1" applyNumberFormat="1">
      <alignment horizontal="left" vertical="center"/>
    </xf>
    <xf numFmtId="49" fontId="72" fillId="40" borderId="16" xfId="0" applyFont="1" applyFill="1" applyBorder="1" applyNumberFormat="1">
      <alignment horizontal="left" vertical="top"/>
    </xf>
    <xf numFmtId="0" fontId="0" fillId="50" borderId="0" xfId="0" applyFont="1" applyFill="1" applyNumberFormat="1">
      <alignment horizontal="right" vertical="center"/>
    </xf>
    <xf numFmtId="0" fontId="55" fillId="0" borderId="14" xfId="0" applyFont="1" applyBorder="1" applyNumberFormat="1">
      <alignment horizontal="center" vertical="center"/>
    </xf>
    <xf numFmtId="0" fontId="0" fillId="0" borderId="0" xfId="0" applyFont="1" applyNumberFormat="1">
      <alignment vertical="center"/>
    </xf>
    <xf numFmtId="0" fontId="23" fillId="0" borderId="14" xfId="0" applyFont="1" applyBorder="1" applyNumberFormat="1">
      <alignment horizontal="center" vertical="center" wrapText="1"/>
    </xf>
    <xf numFmtId="0" fontId="0"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horizontal="right" vertical="center" wrapText="1"/>
    </xf>
    <xf numFmtId="0" fontId="23" fillId="0" borderId="0" xfId="0" applyFont="1" applyNumberFormat="1">
      <alignment horizontal="left" vertical="top" wrapText="1"/>
    </xf>
    <xf numFmtId="0" fontId="85" fillId="37" borderId="21" xfId="0" applyFont="1" applyFill="1" applyBorder="1" applyNumberFormat="1">
      <alignment horizontal="center"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horizontal="left" vertical="center" wrapText="1"/>
    </xf>
    <xf numFmtId="49" fontId="23" fillId="0" borderId="14" xfId="0" applyFont="1" applyBorder="1" applyNumberFormat="1">
      <alignment horizontal="left" vertical="center" wrapText="1"/>
    </xf>
    <xf numFmtId="0" fontId="59" fillId="50" borderId="0" xfId="0" applyFont="1" applyFill="1" applyNumberFormat="1">
      <alignment horizontal="left" vertical="center"/>
    </xf>
    <xf numFmtId="49" fontId="23" fillId="0" borderId="22"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49" fontId="23" fillId="0" borderId="0" xfId="0" applyFont="1" applyNumberFormat="1">
      <alignmen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3" fillId="0" borderId="19" xfId="0" applyFont="1" applyBorder="1" applyNumberFormat="1">
      <alignment vertical="top" wrapText="1"/>
    </xf>
    <xf numFmtId="0" fontId="0" fillId="0" borderId="0" xfId="0" applyFont="1" applyNumberFormat="1">
      <alignment vertical="center"/>
    </xf>
    <xf numFmtId="0" fontId="23" fillId="37" borderId="14" xfId="0" applyFont="1" applyFill="1" applyBorder="1" applyNumberFormat="1">
      <alignment horizontal="left" vertical="center" wrapText="1"/>
    </xf>
    <xf numFmtId="0" fontId="23" fillId="0" borderId="0" xfId="0" applyFont="1" applyNumberFormat="1">
      <alignment horizontal="center" vertical="center"/>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0" fontId="0" fillId="0" borderId="14" xfId="0" applyFont="1" applyBorder="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0" fontId="0" fillId="0" borderId="0" xfId="0" applyFont="1" applyNumberFormat="1">
      <alignment vertical="center"/>
    </xf>
    <xf numFmtId="0" fontId="23" fillId="0" borderId="0" xfId="0" applyFont="1" applyNumberFormat="1">
      <alignment horizontal="center" vertical="center" wrapText="1"/>
    </xf>
    <xf numFmtId="49" fontId="23" fillId="0" borderId="0" xfId="0" applyFont="1" applyNumberFormat="1">
      <alignment vertical="center" wrapText="1"/>
    </xf>
    <xf numFmtId="0" fontId="54" fillId="0" borderId="0" xfId="0" applyFont="1" applyNumberFormat="1">
      <alignment horizontal="center" vertical="center" wrapText="1"/>
    </xf>
    <xf numFmtId="0" fontId="23" fillId="37" borderId="14" xfId="0" applyFont="1" applyFill="1" applyBorder="1" applyNumberFormat="1">
      <alignment horizontal="center" vertical="center" wrapText="1"/>
    </xf>
    <xf numFmtId="0" fontId="55" fillId="0" borderId="0" xfId="0" applyFont="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left" vertical="top" wrapText="1"/>
    </xf>
    <xf numFmtId="0" fontId="0" fillId="0" borderId="15"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9"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55" fillId="0" borderId="0" xfId="0" applyFont="1" applyNumberFormat="1">
      <alignment horizontal="center" vertical="center"/>
    </xf>
    <xf numFmtId="0" fontId="23" fillId="0" borderId="0" xfId="0" applyFont="1" applyNumberFormat="1">
      <alignment horizontal="right" vertical="center" wrapText="1"/>
    </xf>
    <xf numFmtId="0" fontId="85" fillId="37" borderId="0" xfId="0" applyFont="1" applyFill="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left" vertical="center" indent="1"/>
    </xf>
    <xf numFmtId="49" fontId="112" fillId="0" borderId="0" xfId="0" applyFont="1" applyNumberFormat="1">
      <alignment vertical="top"/>
    </xf>
    <xf numFmtId="49" fontId="23" fillId="0" borderId="14" xfId="0" applyFont="1" applyBorder="1" applyNumberFormat="1">
      <alignment vertical="center" wrapText="1"/>
    </xf>
    <xf numFmtId="0" fontId="55" fillId="0" borderId="0" xfId="0" applyFont="1" applyNumberFormat="1">
      <alignment horizontal="center" vertical="center"/>
    </xf>
    <xf numFmtId="0" fontId="23" fillId="43" borderId="14" xfId="0" applyFont="1" applyFill="1" applyBorder="1" applyNumberFormat="1">
      <alignment horizontal="left" vertical="center" wrapText="1" indent="6"/>
    </xf>
    <xf numFmtId="4" fontId="23" fillId="0" borderId="19" xfId="0" applyFont="1" applyBorder="1" applyNumberFormat="1">
      <alignment horizontal="right" vertical="center" wrapText="1"/>
    </xf>
    <xf numFmtId="4" fontId="23" fillId="0" borderId="25" xfId="0" applyFont="1" applyBorder="1" applyNumberFormat="1">
      <alignment horizontal="right" vertical="center" wrapText="1"/>
    </xf>
    <xf numFmtId="0" fontId="0" fillId="0" borderId="0" xfId="0" applyFont="1" applyNumberFormat="1">
      <alignment vertical="center"/>
    </xf>
    <xf numFmtId="49" fontId="23" fillId="0" borderId="0" xfId="0" applyFont="1" applyNumberFormat="1">
      <alignment vertical="center" wrapText="1"/>
    </xf>
    <xf numFmtId="0" fontId="23" fillId="0" borderId="19"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center"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horizontal="left" vertical="center" wrapText="1"/>
    </xf>
    <xf numFmtId="49" fontId="23" fillId="0" borderId="14" xfId="0" applyFont="1" applyBorder="1" applyNumberFormat="1">
      <alignment horizontal="lef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49" fontId="54" fillId="0" borderId="0" xfId="0" applyFont="1" applyNumberFormat="1">
      <alignment vertical="center" wrapText="1"/>
    </xf>
    <xf numFmtId="0" fontId="54" fillId="0" borderId="0" xfId="0" applyFont="1" applyNumberFormat="1">
      <alignment horizontal="left" vertical="center" indent="1"/>
    </xf>
    <xf numFmtId="0" fontId="54" fillId="0" borderId="0" xfId="0" applyFont="1" applyNumberFormat="1">
      <alignment horizontal="center" vertical="center"/>
    </xf>
    <xf numFmtId="0" fontId="54" fillId="0" borderId="0" xfId="0" applyFont="1" applyNumberFormat="1">
      <alignment horizontal="left" vertical="center" wrapText="1"/>
    </xf>
    <xf numFmtId="0" fontId="54" fillId="0" borderId="0" xfId="0" applyFont="1" applyNumberFormat="1">
      <alignment vertical="center" wrapText="1"/>
    </xf>
    <xf numFmtId="49" fontId="54" fillId="0" borderId="14" xfId="0" applyFont="1" applyBorder="1" applyNumberFormat="1">
      <alignment vertical="center" wrapText="1"/>
    </xf>
    <xf numFmtId="0" fontId="54" fillId="0" borderId="0" xfId="0" applyFont="1" applyNumberFormat="1">
      <alignment vertical="center"/>
    </xf>
    <xf numFmtId="0" fontId="54" fillId="0" borderId="0" xfId="0" applyFont="1" applyNumberFormat="1">
      <alignment horizontal="center" vertical="center"/>
    </xf>
    <xf numFmtId="0" fontId="54" fillId="0" borderId="0" xfId="0" applyFont="1" applyNumberFormat="1">
      <alignment vertical="center"/>
    </xf>
    <xf numFmtId="0" fontId="74" fillId="0" borderId="0" xfId="0" applyFont="1" applyNumberFormat="1">
      <alignment vertical="center" wrapText="1"/>
    </xf>
    <xf numFmtId="0" fontId="0" fillId="0" borderId="17" xfId="0" applyFont="1" applyBorder="1" applyNumberFormat="1">
      <alignment vertical="center"/>
    </xf>
    <xf numFmtId="0" fontId="55" fillId="0" borderId="14" xfId="0" applyFont="1" applyBorder="1" applyNumberFormat="1">
      <alignment horizontal="center" vertical="center" wrapText="1"/>
    </xf>
    <xf numFmtId="0" fontId="77" fillId="0" borderId="0" xfId="0" applyFont="1" applyNumberFormat="1">
      <alignment horizontal="left" vertical="center" indent="1"/>
    </xf>
    <xf numFmtId="0" fontId="77" fillId="0" borderId="0" xfId="0" applyFont="1" applyNumberFormat="1">
      <alignment horizontal="left" vertical="center" indent="1"/>
    </xf>
    <xf numFmtId="0" fontId="55" fillId="0" borderId="14" xfId="0" applyFont="1" applyBorder="1" applyNumberFormat="1">
      <alignment vertical="center" wrapText="1"/>
    </xf>
    <xf numFmtId="0" fontId="77" fillId="0" borderId="0" xfId="0" applyFont="1" applyNumberFormat="1">
      <alignment horizontal="center" vertical="center"/>
    </xf>
    <xf numFmtId="0" fontId="77" fillId="0" borderId="0" xfId="0" applyFont="1" applyNumberFormat="1">
      <alignment horizontal="left" vertical="center" wrapText="1"/>
    </xf>
    <xf numFmtId="49" fontId="77" fillId="0" borderId="0" xfId="0" applyFont="1" applyNumberFormat="1">
      <alignment horizontal="left" vertical="center"/>
    </xf>
    <xf numFmtId="0" fontId="23" fillId="0" borderId="0" xfId="0" applyFont="1" applyNumberFormat="1">
      <alignment horizontal="center" vertical="center"/>
    </xf>
    <xf numFmtId="0" fontId="77" fillId="0" borderId="0" xfId="0" applyFont="1" applyNumberFormat="1">
      <alignment horizontal="center" vertical="center"/>
    </xf>
    <xf numFmtId="4" fontId="23" fillId="0" borderId="15" xfId="0" applyFont="1" applyBorder="1" applyNumberFormat="1">
      <alignment horizontal="righ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 fontId="23" fillId="0" borderId="38" xfId="0" applyFont="1" applyBorder="1" applyNumberFormat="1">
      <alignment horizontal="right" vertical="center" wrapText="1"/>
    </xf>
    <xf numFmtId="0" fontId="23" fillId="39" borderId="14" xfId="0" applyFont="1" applyFill="1" applyBorder="1" applyNumberFormat="1">
      <alignment horizontal="left" vertical="center" wrapText="1" indent="7"/>
      <protection locked="0"/>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 fontId="55" fillId="40" borderId="15" xfId="0" applyFont="1" applyFill="1" applyBorder="1" applyNumberFormat="1">
      <alignment horizontal="center" vertical="center" wrapText="1"/>
    </xf>
    <xf numFmtId="164" fontId="23" fillId="40" borderId="15" xfId="0" applyFont="1" applyFill="1" applyBorder="1" applyNumberFormat="1">
      <alignment horizontal="right" vertical="center" wrapText="1"/>
    </xf>
    <xf numFmtId="0" fontId="23" fillId="43" borderId="14" xfId="0" applyFont="1" applyFill="1" applyBorder="1" applyNumberFormat="1">
      <alignment horizontal="left" vertical="center" wrapText="1" indent="1"/>
    </xf>
    <xf numFmtId="0" fontId="55" fillId="0" borderId="14" xfId="0" applyFont="1" applyBorder="1" applyNumberFormat="1">
      <alignment horizontal="left" vertical="center" wrapText="1" indent="5"/>
    </xf>
    <xf numFmtId="49" fontId="77" fillId="0" borderId="26" xfId="0" applyFont="1" applyBorder="1" applyNumberFormat="1">
      <alignment vertical="top"/>
    </xf>
    <xf numFmtId="49" fontId="55" fillId="0" borderId="26" xfId="0" applyFont="1" applyBorder="1" applyNumberFormat="1">
      <alignment vertical="top"/>
    </xf>
    <xf numFmtId="0" fontId="23" fillId="0" borderId="14"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4" fontId="23" fillId="39" borderId="16" xfId="0" applyFont="1" applyFill="1" applyBorder="1" applyNumberFormat="1">
      <alignment horizontal="right" vertical="center" wrapText="1"/>
      <protection locked="0"/>
    </xf>
    <xf numFmtId="4" fontId="55" fillId="0" borderId="16" xfId="0" applyFont="1" applyBorder="1" applyNumberFormat="1">
      <alignment horizontal="center" vertical="center" wrapText="1"/>
    </xf>
    <xf numFmtId="4" fontId="23" fillId="39" borderId="15" xfId="0" applyFont="1" applyFill="1" applyBorder="1" applyNumberFormat="1">
      <alignment horizontal="right" vertical="center" wrapText="1"/>
      <protection locked="0"/>
    </xf>
    <xf numFmtId="49" fontId="23" fillId="40" borderId="29" xfId="0" applyFont="1" applyFill="1" applyBorder="1" applyNumberFormat="1">
      <alignment horizontal="center" vertical="center" wrapText="1"/>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0" xfId="0" applyFont="1" applyNumberFormat="1">
      <alignment vertical="center"/>
    </xf>
    <xf numFmtId="0" fontId="56" fillId="0" borderId="0" xfId="0" applyFont="1" applyNumberFormat="1">
      <alignment vertical="center"/>
    </xf>
    <xf numFmtId="0" fontId="55"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37" borderId="14" xfId="0" applyFont="1" applyFill="1" applyBorder="1" applyNumberFormat="1">
      <alignment horizontal="left" vertical="center" wrapText="1"/>
    </xf>
    <xf numFmtId="0" fontId="55" fillId="0" borderId="0" xfId="0" applyFont="1" applyNumberFormat="1">
      <alignment horizontal="center" vertical="center"/>
    </xf>
    <xf numFmtId="49" fontId="23" fillId="0" borderId="0" xfId="0" applyFont="1" applyNumberFormat="1">
      <alignment horizontal="center" vertical="top"/>
    </xf>
    <xf numFmtId="49" fontId="40" fillId="0" borderId="0" xfId="0" applyFont="1" applyNumberFormat="1">
      <alignment horizontal="center" vertical="center"/>
    </xf>
    <xf numFmtId="0" fontId="0" fillId="0" borderId="0" xfId="0" applyFont="1" applyNumberFormat="1">
      <alignment horizontal="left" vertical="center"/>
    </xf>
    <xf numFmtId="0" fontId="59"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8" fillId="40" borderId="31" xfId="0" applyFont="1" applyFill="1" applyBorder="1" applyNumberFormat="1">
      <alignment horizontal="left" vertical="center"/>
    </xf>
    <xf numFmtId="49" fontId="55" fillId="0" borderId="16" xfId="0" applyFont="1" applyBorder="1" applyNumberFormat="1">
      <alignment horizontal="left"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0" fillId="0" borderId="0" xfId="0" applyFont="1" applyNumberFormat="1">
      <alignment vertical="center"/>
    </xf>
    <xf numFmtId="0" fontId="115" fillId="0" borderId="0" xfId="0" applyFont="1" applyNumberFormat="1">
      <alignment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vertical="center" wrapText="1"/>
    </xf>
    <xf numFmtId="0" fontId="54" fillId="0" borderId="0" xfId="0" applyFont="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0" fontId="85" fillId="37" borderId="21" xfId="0" applyFont="1" applyFill="1" applyBorder="1" applyNumberFormat="1">
      <alignment horizontal="center" vertical="center" wrapText="1"/>
    </xf>
    <xf numFmtId="0" fontId="23" fillId="0" borderId="19" xfId="0" applyFont="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23" fillId="37" borderId="14" xfId="0" applyFont="1" applyFill="1" applyBorder="1" applyNumberFormat="1">
      <alignment horizontal="left" vertical="center" wrapText="1"/>
    </xf>
    <xf numFmtId="0" fontId="55" fillId="0" borderId="0" xfId="0" applyFont="1" applyNumberFormat="1">
      <alignment horizontal="center" vertical="center"/>
    </xf>
    <xf numFmtId="49" fontId="23" fillId="43" borderId="14"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49" fontId="23" fillId="37" borderId="14" xfId="0" applyFont="1" applyFill="1" applyBorder="1" applyNumberFormat="1">
      <alignment horizontal="center" vertical="center" wrapText="1"/>
    </xf>
    <xf numFmtId="0" fontId="55" fillId="0" borderId="0" xfId="0" applyFont="1" applyNumberFormat="1">
      <alignment horizontal="center" vertical="center"/>
    </xf>
    <xf numFmtId="0" fontId="23" fillId="37" borderId="14" xfId="0" applyFont="1" applyFill="1" applyBorder="1" applyNumberFormat="1">
      <alignment horizontal="left" vertical="center" wrapText="1"/>
    </xf>
    <xf numFmtId="49" fontId="23" fillId="42" borderId="14" xfId="0" applyFont="1" applyFill="1" applyBorder="1" applyNumberFormat="1">
      <alignment horizontal="left" vertical="center" wrapText="1" indent="1"/>
      <protection locked="0"/>
    </xf>
    <xf numFmtId="0" fontId="0" fillId="0" borderId="0" xfId="0" applyFont="1" applyNumberFormat="1">
      <alignment vertical="center"/>
    </xf>
    <xf numFmtId="0" fontId="23" fillId="0" borderId="0" xfId="0" applyFont="1" applyNumberFormat="1">
      <alignment horizontal="center" vertical="center" wrapText="1"/>
    </xf>
    <xf numFmtId="49" fontId="23" fillId="43" borderId="14" xfId="0" applyFont="1" applyFill="1" applyBorder="1" applyNumberFormat="1">
      <alignment horizontal="center"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vertical="center" wrapText="1"/>
    </xf>
    <xf numFmtId="49" fontId="23" fillId="37" borderId="14" xfId="0" applyFont="1" applyFill="1" applyBorder="1" applyNumberFormat="1">
      <alignment horizontal="center" vertical="center" wrapText="1"/>
    </xf>
    <xf numFmtId="0" fontId="55" fillId="37" borderId="0" xfId="0" applyFont="1" applyFill="1" applyNumberFormat="1">
      <alignment horizontal="center" vertical="center" wrapText="1"/>
    </xf>
    <xf numFmtId="0" fontId="0" fillId="37" borderId="1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0" fontId="54" fillId="0" borderId="0" xfId="0" applyFont="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0" fontId="85" fillId="37" borderId="21" xfId="0" applyFont="1" applyFill="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43" borderId="14" xfId="0" applyFont="1" applyFill="1" applyBorder="1" applyNumberFormat="1">
      <alignment horizontal="left" vertical="center" wrapText="1"/>
    </xf>
    <xf numFmtId="49" fontId="23" fillId="42" borderId="14" xfId="0" applyFont="1" applyFill="1" applyBorder="1" applyNumberFormat="1">
      <alignment horizontal="left" vertical="center" wrapText="1" indent="1"/>
      <protection locked="0"/>
    </xf>
    <xf numFmtId="0" fontId="23" fillId="37" borderId="14" xfId="0" applyFont="1" applyFill="1" applyBorder="1" applyNumberFormat="1">
      <alignment horizontal="left" vertical="center" wrapText="1"/>
    </xf>
    <xf numFmtId="0" fontId="55" fillId="0" borderId="0" xfId="0" applyFont="1" applyNumberFormat="1">
      <alignment horizontal="center" vertical="center"/>
    </xf>
    <xf numFmtId="0" fontId="45" fillId="0" borderId="0" xfId="0" applyFont="1" applyNumberFormat="1">
      <alignment horizontal="center" vertical="center" wrapText="1"/>
    </xf>
    <xf numFmtId="164" fontId="23" fillId="40" borderId="17" xfId="0" applyFont="1" applyFill="1" applyBorder="1" applyNumberFormat="1">
      <alignment horizontal="righ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49" fontId="48" fillId="40" borderId="29" xfId="0" applyFont="1" applyFill="1" applyBorder="1" applyNumberFormat="1">
      <alignment horizontal="left" vertical="center"/>
    </xf>
    <xf numFmtId="0" fontId="116"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0" xfId="0" applyFont="1" applyNumberFormat="1">
      <alignment horizontal="left" vertical="center" wrapText="1" indent="1"/>
    </xf>
    <xf numFmtId="49" fontId="23" fillId="40" borderId="16" xfId="0" applyFont="1" applyFill="1" applyBorder="1" applyNumberFormat="1">
      <alignment horizontal="center" vertical="center" wrapText="1"/>
    </xf>
    <xf numFmtId="0" fontId="55" fillId="0" borderId="26" xfId="0" applyFont="1" applyBorder="1" applyNumberFormat="1">
      <alignment horizontal="left" vertical="center" wrapText="1" inden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5" fillId="0" borderId="0" xfId="0" applyFont="1" applyNumberFormat="1">
      <alignment horizontal="left" vertical="center"/>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23" fillId="0" borderId="21" xfId="0" applyFont="1" applyBorder="1" applyNumberFormat="1">
      <alignment horizontal="left" vertical="center" wrapText="1"/>
    </xf>
    <xf numFmtId="0" fontId="45" fillId="0" borderId="0" xfId="0" applyFont="1" applyNumberFormat="1">
      <alignment horizontal="center" vertical="center" wrapText="1"/>
    </xf>
    <xf numFmtId="0" fontId="45" fillId="37" borderId="0" xfId="0" applyFont="1" applyFill="1" applyNumberFormat="1">
      <alignment horizontal="center" vertical="center" wrapText="1"/>
    </xf>
    <xf numFmtId="49" fontId="54" fillId="0" borderId="0" xfId="0" applyFont="1" applyNumberFormat="1">
      <alignment horizontal="left" vertical="center"/>
    </xf>
    <xf numFmtId="49" fontId="54" fillId="0" borderId="0" xfId="0" applyFont="1" applyNumberFormat="1">
      <alignment horizontal="left" vertical="center"/>
    </xf>
    <xf numFmtId="49" fontId="54" fillId="0" borderId="0" xfId="0" applyFont="1" applyNumberFormat="1">
      <alignment horizontal="left" vertical="top"/>
    </xf>
    <xf numFmtId="49" fontId="23" fillId="37" borderId="14" xfId="0" applyFont="1" applyFill="1" applyBorder="1" applyNumberFormat="1">
      <alignment horizontal="center" vertical="center"/>
    </xf>
    <xf numFmtId="0" fontId="23" fillId="0" borderId="14" xfId="0" applyFont="1" applyBorder="1" applyNumberFormat="1">
      <alignment horizontal="center" vertical="center" wrapText="1"/>
    </xf>
    <xf numFmtId="0" fontId="23" fillId="37" borderId="14" xfId="0" applyFont="1" applyFill="1" applyBorder="1" applyNumberFormat="1">
      <alignment horizontal="left" vertical="center" wrapText="1" indent="1"/>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indent="1"/>
    </xf>
    <xf numFmtId="0" fontId="23" fillId="0" borderId="14" xfId="0" applyFont="1" applyBorder="1" applyNumberFormat="1">
      <alignment vertical="center" wrapText="1"/>
    </xf>
    <xf numFmtId="49" fontId="23" fillId="42" borderId="14" xfId="0" applyFont="1" applyFill="1" applyBorder="1" applyNumberFormat="1">
      <alignment horizontal="left" vertical="center" wrapText="1"/>
      <protection locked="0"/>
    </xf>
    <xf numFmtId="0" fontId="23" fillId="37" borderId="14" xfId="0" applyFont="1" applyFill="1" applyBorder="1" applyNumberFormat="1">
      <alignment horizontal="left" vertical="center" wrapText="1"/>
    </xf>
    <xf numFmtId="0" fontId="55" fillId="37" borderId="14" xfId="0" applyFont="1" applyFill="1" applyBorder="1" applyNumberFormat="1">
      <alignment horizontal="center" vertical="center"/>
    </xf>
    <xf numFmtId="0" fontId="77" fillId="37" borderId="0" xfId="0" applyFont="1" applyFill="1" applyNumberFormat="1">
      <alignment vertical="center" wrapText="1"/>
    </xf>
    <xf numFmtId="0" fontId="72" fillId="37" borderId="0" xfId="0" applyFont="1" applyFill="1" applyNumberFormat="1"/>
    <xf numFmtId="49" fontId="23" fillId="39" borderId="14" xfId="0" applyFont="1" applyFill="1" applyBorder="1" applyNumberFormat="1">
      <alignment horizontal="left" vertical="center" wrapText="1"/>
      <protection locked="0"/>
    </xf>
    <xf numFmtId="0" fontId="89" fillId="37" borderId="0" xfId="0" applyFont="1" applyFill="1" applyNumberFormat="1"/>
    <xf numFmtId="0" fontId="73" fillId="37" borderId="0" xfId="0" applyFont="1" applyFill="1" applyNumberFormat="1"/>
    <xf numFmtId="14" fontId="23" fillId="42" borderId="25" xfId="0" applyFont="1" applyFill="1" applyBorder="1" applyNumberFormat="1">
      <alignment horizontal="left" vertical="center" wrapText="1" indent="1"/>
      <protection locked="0"/>
    </xf>
    <xf numFmtId="0" fontId="117" fillId="0" borderId="0" xfId="0" applyFont="1" applyNumberFormat="1">
      <alignment vertical="center"/>
    </xf>
    <xf numFmtId="0" fontId="117" fillId="0" borderId="0" xfId="0" applyFont="1" applyNumberFormat="1">
      <alignment vertical="center" wrapText="1"/>
    </xf>
    <xf numFmtId="165" fontId="23" fillId="0" borderId="25" xfId="0" applyFont="1" applyBorder="1" applyNumberFormat="1">
      <alignment horizontal="center" vertical="center" wrapText="1"/>
    </xf>
    <xf numFmtId="14" fontId="23" fillId="42" borderId="14" xfId="0" applyFont="1" applyFill="1" applyBorder="1" applyNumberFormat="1">
      <alignment horizontal="left" vertical="center" wrapText="1" indent="1"/>
      <protection locked="0"/>
    </xf>
    <xf numFmtId="0" fontId="23" fillId="38" borderId="25" xfId="0" applyFont="1" applyFill="1" applyBorder="1" applyNumberFormat="1">
      <alignment horizontal="left" vertical="center" wrapText="1" indent="1"/>
    </xf>
    <xf numFmtId="165" fontId="23" fillId="0" borderId="19" xfId="0" applyFont="1" applyBorder="1" applyNumberFormat="1">
      <alignment horizontal="center"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34" fillId="40" borderId="29" xfId="0" applyFont="1" applyFill="1" applyBorder="1" applyNumberFormat="1">
      <alignment horizontal="left"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xf>
    <xf numFmtId="0" fontId="50" fillId="0" borderId="0" xfId="0" applyFont="1" applyNumberFormat="1">
      <alignment horizontal="center" vertical="center" wrapText="1"/>
    </xf>
    <xf numFmtId="14" fontId="23" fillId="43" borderId="14" xfId="0" applyFont="1" applyFill="1" applyBorder="1" applyNumberFormat="1">
      <alignment horizontal="left" vertical="center" wrapText="1"/>
    </xf>
    <xf numFmtId="165" fontId="23" fillId="0" borderId="39" xfId="0" applyFont="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54" fillId="37" borderId="0" xfId="0" applyFont="1" applyFill="1" applyNumberFormat="1"/>
    <xf numFmtId="0" fontId="23" fillId="0" borderId="17" xfId="0" applyFont="1" applyBorder="1" applyNumberFormat="1">
      <alignment horizontal="right" vertical="center" wrapText="1" indent="1"/>
    </xf>
    <xf numFmtId="0" fontId="23" fillId="38" borderId="16" xfId="0" applyFont="1" applyFill="1" applyBorder="1" applyNumberFormat="1">
      <alignment horizontal="left" vertical="top" wrapText="1"/>
    </xf>
    <xf numFmtId="49" fontId="55" fillId="0" borderId="0" xfId="0" applyFont="1" applyNumberFormat="1">
      <alignment horizontal="center" vertical="center"/>
    </xf>
    <xf numFmtId="49" fontId="72" fillId="0" borderId="0" xfId="0" applyFont="1" applyNumberFormat="1">
      <alignment vertical="top"/>
    </xf>
    <xf numFmtId="0" fontId="50" fillId="0" borderId="0" xfId="0" applyFont="1" applyNumberFormat="1">
      <alignment vertical="center"/>
    </xf>
    <xf numFmtId="0" fontId="23" fillId="0" borderId="38"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49" fontId="23" fillId="0" borderId="38" xfId="0" applyFont="1" applyBorder="1" applyNumberFormat="1">
      <alignment horizontal="left" vertical="center" wrapText="1"/>
    </xf>
    <xf numFmtId="49" fontId="23" fillId="0" borderId="38" xfId="0" applyFont="1" applyBorder="1" applyNumberFormat="1">
      <alignment horizontal="center" vertical="center" wrapText="1"/>
    </xf>
    <xf numFmtId="49" fontId="23" fillId="0" borderId="19" xfId="0" applyFont="1" applyBorder="1" applyNumberFormat="1">
      <alignment horizontal="center" vertical="center" wrapText="1"/>
    </xf>
    <xf numFmtId="0" fontId="23" fillId="0" borderId="38" xfId="0" applyFont="1" applyBorder="1" applyNumberFormat="1">
      <alignment horizontal="left" vertical="center" wrapText="1"/>
    </xf>
    <xf numFmtId="49" fontId="23" fillId="0" borderId="38" xfId="0" applyFont="1" applyBorder="1" applyNumberFormat="1">
      <alignment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0" borderId="38" xfId="0" applyFont="1" applyBorder="1" applyNumberFormat="1">
      <alignment horizontal="left" vertical="center"/>
    </xf>
    <xf numFmtId="0" fontId="48" fillId="40" borderId="39" xfId="0" applyFont="1" applyFill="1" applyBorder="1" applyNumberFormat="1">
      <alignment horizontal="left" vertical="center"/>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43" borderId="19" xfId="0" applyFont="1" applyFill="1" applyBorder="1" applyNumberFormat="1">
      <alignment vertical="center" wrapText="1"/>
    </xf>
    <xf numFmtId="0" fontId="23" fillId="0" borderId="39" xfId="0" applyFont="1" applyBorder="1" applyNumberFormat="1">
      <alignment horizontal="center" vertical="center" wrapText="1"/>
    </xf>
    <xf numFmtId="49" fontId="0" fillId="0" borderId="0" xfId="0" applyFont="1" applyNumberFormat="1">
      <alignment vertical="top"/>
    </xf>
    <xf numFmtId="49" fontId="54" fillId="0" borderId="0" xfId="0" applyFont="1" applyNumberFormat="1">
      <alignment horizontal="center" vertical="center"/>
    </xf>
    <xf numFmtId="0" fontId="118" fillId="0" borderId="0" xfId="0" applyFont="1" applyNumberFormat="1">
      <alignment vertical="center" wrapText="1"/>
    </xf>
    <xf numFmtId="0" fontId="119" fillId="0" borderId="0" xfId="0" applyFont="1" applyNumberFormat="1">
      <alignment vertical="center" wrapText="1"/>
    </xf>
    <xf numFmtId="0" fontId="23" fillId="0" borderId="19" xfId="0" applyFont="1" applyBorder="1" applyNumberFormat="1">
      <alignment horizontal="center" vertical="center" wrapText="1"/>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0" fontId="23" fillId="0" borderId="19" xfId="0" applyFont="1" applyBorder="1" applyNumberFormat="1">
      <alignment horizontal="left" vertical="center" wrapText="1"/>
    </xf>
    <xf numFmtId="0" fontId="23" fillId="0" borderId="0" xfId="0" applyFont="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0" fontId="48" fillId="0" borderId="0" xfId="0" applyFont="1" applyNumberFormat="1">
      <alignment vertical="center"/>
    </xf>
    <xf numFmtId="49" fontId="72" fillId="0" borderId="32" xfId="0" applyFont="1" applyBorder="1" applyNumberFormat="1">
      <alignment vertical="top"/>
    </xf>
    <xf numFmtId="49" fontId="23" fillId="0" borderId="39" xfId="0" applyFont="1" applyBorder="1" applyNumberFormat="1">
      <alignment vertical="center" wrapText="1"/>
    </xf>
    <xf numFmtId="49" fontId="23" fillId="0" borderId="24" xfId="0" applyFont="1" applyBorder="1" applyNumberFormat="1">
      <alignment vertical="center" wrapText="1"/>
    </xf>
    <xf numFmtId="0" fontId="48" fillId="0" borderId="24" xfId="0" applyFont="1" applyBorder="1" applyNumberFormat="1">
      <alignment horizontal="left" vertical="center"/>
    </xf>
    <xf numFmtId="49" fontId="72" fillId="0" borderId="29" xfId="0" applyFont="1" applyBorder="1" applyNumberFormat="1">
      <alignment vertical="top"/>
    </xf>
    <xf numFmtId="49" fontId="23" fillId="0" borderId="38" xfId="0" applyFont="1" applyBorder="1" applyNumberFormat="1">
      <alignment horizontal="center" vertical="center" wrapText="1"/>
    </xf>
    <xf numFmtId="0" fontId="48" fillId="40" borderId="39" xfId="0" applyFont="1" applyFill="1" applyBorder="1" applyNumberFormat="1">
      <alignment vertical="center"/>
    </xf>
    <xf numFmtId="49" fontId="0" fillId="0" borderId="14" xfId="0" applyFont="1" applyBorder="1" applyNumberFormat="1">
      <alignment horizontal="left" vertical="center" wrapText="1" indent="1"/>
    </xf>
    <xf numFmtId="49" fontId="0" fillId="0" borderId="0" xfId="0" applyFont="1" applyNumberFormat="1">
      <alignment vertical="top"/>
    </xf>
    <xf numFmtId="0" fontId="23" fillId="0" borderId="0" xfId="0" applyFont="1" applyNumberFormat="1">
      <alignment vertical="center" wrapText="1"/>
    </xf>
    <xf numFmtId="0" fontId="40" fillId="0" borderId="0" xfId="0" applyFont="1" applyNumberFormat="1">
      <alignment vertical="center" wrapText="1"/>
    </xf>
    <xf numFmtId="0" fontId="50" fillId="0" borderId="0" xfId="0" applyFont="1" applyNumberFormat="1">
      <alignment vertical="center" wrapText="1"/>
    </xf>
    <xf numFmtId="0" fontId="23" fillId="0" borderId="0" xfId="0" applyFont="1" applyNumberFormat="1">
      <alignment horizontal="left" vertical="center" wrapText="1"/>
    </xf>
    <xf numFmtId="0" fontId="63" fillId="0" borderId="0" xfId="0" applyFont="1" applyNumberFormat="1">
      <alignment vertical="center" wrapText="1"/>
    </xf>
    <xf numFmtId="0" fontId="65" fillId="0" borderId="0" xfId="0" applyFont="1" applyNumberFormat="1">
      <alignment vertical="center" wrapText="1"/>
    </xf>
    <xf numFmtId="0" fontId="93" fillId="0" borderId="0" xfId="0" applyFont="1" applyNumberFormat="1">
      <alignment vertical="center" wrapText="1"/>
    </xf>
    <xf numFmtId="0" fontId="55" fillId="0" borderId="0" xfId="0" applyFont="1" applyNumberFormat="1">
      <alignment vertical="center" wrapText="1"/>
    </xf>
    <xf numFmtId="0" fontId="69" fillId="0" borderId="0" xfId="0" applyFont="1" applyNumberFormat="1">
      <alignment vertical="center" wrapText="1"/>
    </xf>
    <xf numFmtId="49" fontId="23" fillId="0" borderId="14" xfId="0" applyFont="1" applyBorder="1" applyNumberFormat="1">
      <alignment horizontal="center" vertical="center" wrapText="1"/>
    </xf>
    <xf numFmtId="0" fontId="45" fillId="37" borderId="14" xfId="0" applyFont="1" applyFill="1" applyBorder="1" applyNumberFormat="1">
      <alignment horizontal="center"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23" fillId="0" borderId="14" xfId="0" applyFont="1" applyBorder="1" applyNumberFormat="1">
      <alignment horizontal="center" vertical="center" wrapText="1"/>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center"/>
    </xf>
    <xf numFmtId="0" fontId="45" fillId="37" borderId="14" xfId="0" applyFont="1" applyFill="1" applyBorder="1" applyNumberFormat="1">
      <alignment horizontal="center" vertical="center" wrapText="1"/>
    </xf>
    <xf numFmtId="0" fontId="54" fillId="0" borderId="24" xfId="0" applyFont="1" applyBorder="1" applyNumberFormat="1">
      <alignment vertical="center"/>
    </xf>
    <xf numFmtId="0" fontId="54" fillId="0" borderId="24" xfId="0" applyFont="1" applyBorder="1" applyNumberFormat="1">
      <alignment vertical="center"/>
    </xf>
    <xf numFmtId="0" fontId="23" fillId="0" borderId="19" xfId="0" applyFont="1" applyBorder="1" applyNumberFormat="1">
      <alignment horizontal="left" vertical="center" wrapText="1" indent="1"/>
    </xf>
    <xf numFmtId="49" fontId="23" fillId="0" borderId="60"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0" xfId="0" applyFont="1" applyNumberFormat="1">
      <alignment vertical="center" wrapText="1"/>
    </xf>
    <xf numFmtId="0" fontId="40"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wrapText="1"/>
    </xf>
    <xf numFmtId="0" fontId="55" fillId="0" borderId="0" xfId="0" applyFont="1" applyNumberFormat="1">
      <alignment vertical="center" wrapText="1"/>
    </xf>
    <xf numFmtId="0" fontId="23" fillId="0" borderId="14" xfId="0" applyFont="1" applyBorder="1" applyNumberFormat="1">
      <alignment horizontal="center"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59" fillId="0" borderId="0" xfId="0" applyFont="1" applyNumberFormat="1">
      <alignment vertical="center"/>
    </xf>
    <xf numFmtId="0" fontId="77" fillId="0" borderId="0" xfId="0" applyFont="1" applyNumberFormat="1">
      <alignment vertical="center" wrapText="1"/>
    </xf>
    <xf numFmtId="0" fontId="55" fillId="0" borderId="0" xfId="0" applyFont="1" applyNumberFormat="1">
      <alignment vertical="center" wrapText="1"/>
    </xf>
    <xf numFmtId="0" fontId="23" fillId="0" borderId="15"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0" xfId="0" applyFont="1" applyNumberFormat="1">
      <alignment horizontal="left" vertical="top"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0" fontId="23" fillId="0" borderId="14" xfId="0" applyFont="1" applyBorder="1" applyNumberFormat="1">
      <alignment horizontal="left" vertical="center" wrapText="1" indent="2"/>
    </xf>
    <xf numFmtId="0" fontId="55" fillId="0" borderId="19"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4" xfId="0" applyFont="1" applyBorder="1" applyNumberFormat="1">
      <alignment horizontal="center" vertical="center" wrapText="1"/>
    </xf>
    <xf numFmtId="49" fontId="0" fillId="0" borderId="14" xfId="0" applyFont="1" applyBorder="1" applyNumberFormat="1">
      <alignment vertical="center" wrapText="1"/>
    </xf>
    <xf numFmtId="0" fontId="55" fillId="0" borderId="16" xfId="0" applyFont="1" applyBorder="1" applyNumberFormat="1">
      <alignment vertical="center" wrapText="1"/>
    </xf>
    <xf numFmtId="0" fontId="55" fillId="0" borderId="16" xfId="0" applyFont="1" applyBorder="1" applyNumberFormat="1">
      <alignment horizontal="left" vertical="top" wrapText="1"/>
    </xf>
    <xf numFmtId="49" fontId="23" fillId="0" borderId="61" xfId="0" applyFont="1" applyBorder="1" applyNumberFormat="1">
      <alignment horizontal="center" vertical="center" wrapText="1"/>
    </xf>
    <xf numFmtId="0" fontId="23" fillId="0" borderId="19" xfId="0" applyFont="1" applyBorder="1" applyNumberFormat="1">
      <alignment horizontal="left" vertical="center" wrapText="1"/>
    </xf>
    <xf numFmtId="49" fontId="48" fillId="40" borderId="21" xfId="0" applyFont="1" applyFill="1" applyBorder="1" applyNumberFormat="1">
      <alignment horizontal="left" vertical="center" indent="2"/>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0" xfId="0" applyFont="1" applyNumberFormat="1">
      <alignment vertical="center" wrapText="1"/>
    </xf>
    <xf numFmtId="0" fontId="0"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0" fillId="0" borderId="14" xfId="0" applyFont="1" applyBorder="1" applyNumberFormat="1">
      <alignment horizontal="left" vertical="center" wrapText="1" indent="1"/>
    </xf>
    <xf numFmtId="49" fontId="0" fillId="37" borderId="14" xfId="0" applyFont="1" applyFill="1" applyBorder="1" applyNumberFormat="1">
      <alignment horizontal="center" vertical="center" wrapText="1"/>
    </xf>
    <xf numFmtId="49" fontId="23" fillId="43" borderId="14" xfId="0" applyFont="1" applyFill="1" applyBorder="1" applyNumberFormat="1">
      <alignment horizontal="left" vertical="center" wrapText="1"/>
    </xf>
    <xf numFmtId="49" fontId="23" fillId="0" borderId="62"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0" fontId="23" fillId="0" borderId="0" xfId="0" applyFont="1" applyNumberFormat="1">
      <alignment horizontal="right" vertical="top" wrapText="1"/>
    </xf>
    <xf numFmtId="49" fontId="0" fillId="42" borderId="14" xfId="0" applyFont="1" applyFill="1" applyBorder="1" applyNumberFormat="1">
      <alignment horizontal="left" vertical="center" wrapText="1" indent="1"/>
      <protection locked="0"/>
    </xf>
    <xf numFmtId="49" fontId="54" fillId="0" borderId="0" xfId="0" applyFont="1" applyNumberFormat="1">
      <alignment vertical="top"/>
    </xf>
    <xf numFmtId="49"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37" borderId="0" xfId="0" applyFont="1" applyFill="1" applyNumberFormat="1"/>
    <xf numFmtId="0" fontId="23" fillId="0" borderId="0" xfId="0" applyFont="1" applyNumberFormat="1">
      <alignment vertical="top" wrapText="1"/>
    </xf>
    <xf numFmtId="0" fontId="45" fillId="37" borderId="0" xfId="0" applyFont="1" applyFill="1" applyNumberFormat="1">
      <alignment horizontal="center" vertical="center" wrapText="1"/>
    </xf>
    <xf numFmtId="0" fontId="0" fillId="37" borderId="25"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40" fillId="49" borderId="0" xfId="0" applyFont="1" applyFill="1" applyNumberFormat="1">
      <alignment horizontal="center" vertical="center"/>
    </xf>
    <xf numFmtId="0" fontId="0" fillId="50" borderId="0" xfId="0" applyFont="1" applyFill="1" applyNumberFormat="1">
      <alignment horizontal="left" vertical="center"/>
    </xf>
    <xf numFmtId="49" fontId="0" fillId="0" borderId="0" xfId="0" applyFont="1" applyNumberFormat="1">
      <alignment vertical="center"/>
    </xf>
    <xf numFmtId="0" fontId="0" fillId="50" borderId="0" xfId="0" applyFont="1" applyFill="1" applyNumberFormat="1">
      <alignment horizontal="right" vertical="center"/>
    </xf>
    <xf numFmtId="0" fontId="59" fillId="50" borderId="0" xfId="0" applyFont="1" applyFill="1" applyNumberFormat="1">
      <alignment horizontal="left" vertical="center"/>
    </xf>
    <xf numFmtId="0" fontId="0" fillId="0" borderId="0" xfId="0" applyFont="1" applyNumberFormat="1">
      <alignment horizontal="right" vertical="top"/>
    </xf>
    <xf numFmtId="0" fontId="0" fillId="50" borderId="12" xfId="0" applyFont="1" applyFill="1" applyBorder="1" applyNumberFormat="1">
      <alignment horizontal="center"/>
    </xf>
    <xf numFmtId="0" fontId="0" fillId="0" borderId="12" xfId="0" applyFont="1" applyBorder="1" applyNumberFormat="1">
      <alignment horizontal="center"/>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38" fillId="0" borderId="0" xfId="0" applyFont="1" applyNumberFormat="1"/>
    <xf numFmtId="0" fontId="107" fillId="0" borderId="0" xfId="0" applyFont="1" applyNumberFormat="1">
      <alignment horizontal="left" vertical="center" wrapText="1"/>
    </xf>
    <xf numFmtId="49" fontId="122" fillId="0" borderId="0" xfId="0" applyFont="1" applyNumberFormat="1">
      <alignment wrapText="1"/>
    </xf>
    <xf numFmtId="0" fontId="22" fillId="0" borderId="0" xfId="0" applyFont="1" applyNumberFormat="1">
      <alignment horizontal="left" vertical="top" wrapText="1"/>
    </xf>
    <xf numFmtId="49" fontId="23" fillId="0" borderId="0" xfId="0" applyFont="1" applyNumberFormat="1">
      <alignment vertical="top" wrapText="1"/>
    </xf>
    <xf numFmtId="0" fontId="71" fillId="0" borderId="0" xfId="0" applyFont="1" applyNumberFormat="1">
      <alignment wrapTex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0" fillId="55" borderId="63" xfId="0" applyFont="1" applyFill="1" applyBorder="1" applyNumberFormat="1">
      <alignment horizontal="center"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125" fillId="0" borderId="0" xfId="0" applyFont="1" applyNumberFormat="1"/>
    <xf numFmtId="0" fontId="125" fillId="0" borderId="40" xfId="0" applyFont="1" applyBorder="1" applyNumberFormat="1">
      <alignment wrapTex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0" fontId="44" fillId="0" borderId="26" xfId="0" applyFont="1" applyBorder="1" applyNumberFormat="1">
      <alignment horizontal="center" vertical="center" wrapText="1"/>
    </xf>
    <xf numFmtId="49" fontId="23" fillId="0" borderId="15" xfId="0" applyFont="1" applyBorder="1" applyNumberFormat="1">
      <alignment horizontal="center" vertical="center" wrapText="1"/>
    </xf>
    <xf numFmtId="49" fontId="126" fillId="0" borderId="0" xfId="0" applyFont="1" applyNumberFormat="1">
      <alignment horizontal="center" vertical="center" wrapText="1"/>
    </xf>
    <xf numFmtId="49" fontId="23" fillId="50" borderId="0" xfId="0" applyFont="1" applyFill="1" applyNumberFormat="1">
      <alignment horizontal="center" vertical="center"/>
    </xf>
    <xf numFmtId="167" fontId="0" fillId="42" borderId="14" xfId="0" applyFont="1" applyFill="1" applyBorder="1" applyNumberFormat="1">
      <alignment horizontal="left" vertical="center" wrapText="1" indent="1"/>
      <protection locked="0"/>
    </xf>
    <xf numFmtId="167" fontId="0" fillId="0" borderId="14" xfId="0" applyFont="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167" fontId="55" fillId="0" borderId="0" xfId="0" applyFont="1" applyNumberFormat="1">
      <alignment horizontal="center" vertical="center" wrapText="1"/>
    </xf>
    <xf numFmtId="167" fontId="55" fillId="0" borderId="14" xfId="0" applyFont="1" applyBorder="1" applyNumberFormat="1">
      <alignment horizontal="center" vertical="center" wrapText="1"/>
    </xf>
    <xf numFmtId="167" fontId="0" fillId="42" borderId="14" xfId="0" applyFont="1" applyFill="1" applyBorder="1" applyNumberFormat="1">
      <alignment horizontal="left" vertical="center" wrapText="1"/>
      <protection locked="0"/>
    </xf>
    <xf numFmtId="167" fontId="0" fillId="39" borderId="14" xfId="0" applyFont="1" applyFill="1" applyBorder="1" applyNumberFormat="1">
      <alignment horizontal="left" vertical="center" wrapText="1" indent="1"/>
      <protection locked="0"/>
    </xf>
    <xf numFmtId="167" fontId="0" fillId="42" borderId="15" xfId="0" applyFont="1" applyFill="1" applyBorder="1" applyNumberFormat="1">
      <alignment horizontal="left" vertical="center" wrapText="1"/>
      <protection locked="0"/>
    </xf>
    <xf numFmtId="0" fontId="23" fillId="0" borderId="0" xfId="0" applyFont="1" applyNumberFormat="1">
      <alignment horizontal="left" vertical="top" indent="1"/>
    </xf>
    <xf numFmtId="0" fontId="23" fillId="38" borderId="32" xfId="0" applyFont="1" applyFill="1" applyBorder="1" applyNumberFormat="1">
      <alignment horizontal="center" vertical="top"/>
    </xf>
    <xf numFmtId="0" fontId="0" fillId="0" borderId="36" xfId="0" applyFont="1" applyBorder="1" applyNumberFormat="1">
      <alignment horizontal="center" vertical="center"/>
    </xf>
    <xf numFmtId="0" fontId="0" fillId="0" borderId="35" xfId="0" applyFont="1" applyBorder="1" applyNumberFormat="1">
      <alignment horizontal="center" vertical="center"/>
    </xf>
    <xf numFmtId="0" fontId="23" fillId="38" borderId="32" xfId="0" applyFont="1" applyFill="1" applyBorder="1" applyNumberFormat="1">
      <alignment horizontal="left" vertical="top"/>
    </xf>
    <xf numFmtId="0" fontId="23" fillId="0" borderId="14" xfId="0" applyFont="1" applyBorder="1" applyNumberFormat="1">
      <alignment horizontal="left" vertical="top"/>
    </xf>
    <xf numFmtId="49" fontId="23" fillId="0" borderId="0" xfId="0" applyFont="1" applyNumberFormat="1">
      <alignment horizontal="left" vertical="top"/>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48" fillId="0" borderId="38" xfId="0" applyFont="1" applyBorder="1" applyNumberFormat="1">
      <alignment horizontal="left" vertical="center"/>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14" fontId="23" fillId="43" borderId="38" xfId="0" applyFont="1" applyFill="1" applyBorder="1" applyNumberFormat="1">
      <alignment horizontal="left" vertical="center" wrapText="1" indent="1"/>
    </xf>
    <xf numFmtId="49" fontId="23" fillId="43" borderId="0" xfId="0" applyFont="1" applyFill="1" applyNumberFormat="1">
      <alignment horizontal="center" vertical="center" wrapText="1"/>
    </xf>
    <xf numFmtId="0" fontId="23" fillId="0" borderId="14" xfId="0" applyFont="1" applyBorder="1" applyNumberFormat="1">
      <alignment horizontal="center" vertical="center" wrapText="1"/>
    </xf>
    <xf numFmtId="0" fontId="0" fillId="37" borderId="14" xfId="0" applyFont="1" applyFill="1" applyBorder="1" applyNumberFormat="1">
      <alignment vertical="top" wrapText="1"/>
    </xf>
    <xf numFmtId="0" fontId="54" fillId="0" borderId="14" xfId="0" applyFont="1" applyBorder="1" applyNumberFormat="1">
      <alignment vertical="top" wrapText="1"/>
    </xf>
    <xf numFmtId="49" fontId="23" fillId="43" borderId="19" xfId="0" applyFont="1" applyFill="1" applyBorder="1" applyNumberFormat="1">
      <alignment vertical="center" wrapTex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0" fontId="0" fillId="42" borderId="14" xfId="0" applyFont="1" applyFill="1" applyBorder="1" applyNumberFormat="1">
      <alignment horizontal="left" vertical="center" wrapText="1" indent="1"/>
      <protection locked="0"/>
    </xf>
    <xf numFmtId="0" fontId="0" fillId="0" borderId="15" xfId="0" applyFont="1" applyBorder="1" applyNumberFormat="1">
      <alignment horizontal="center"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49" fontId="23" fillId="0" borderId="0" xfId="0" applyFont="1" applyNumberFormat="1">
      <alignment horizontal="left" vertical="center" indent="1"/>
    </xf>
    <xf numFmtId="167" fontId="0" fillId="42" borderId="16" xfId="0" applyFont="1" applyFill="1" applyBorder="1" applyNumberFormat="1">
      <alignment horizontal="left" vertical="center" wrapText="1"/>
      <protection locked="0"/>
    </xf>
    <xf numFmtId="167" fontId="0" fillId="0" borderId="13" xfId="0" applyFont="1" applyBorder="1" applyNumberFormat="1">
      <alignment horizontal="left" vertical="center" wrapText="1" indent="1"/>
    </xf>
    <xf numFmtId="49" fontId="23" fillId="37" borderId="28" xfId="0" applyFont="1" applyFill="1" applyBorder="1" applyNumberFormat="1">
      <alignment horizontal="right" vertical="center" wrapText="1" indent="1"/>
    </xf>
    <xf numFmtId="49" fontId="54" fillId="0" borderId="0" xfId="0" applyFont="1" applyNumberFormat="1">
      <alignment vertical="center" wrapText="1"/>
    </xf>
    <xf numFmtId="49" fontId="0" fillId="39"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23" fillId="0" borderId="0" xfId="0" applyFont="1" applyNumberFormat="1">
      <alignment vertical="top" wrapText="1"/>
    </xf>
    <xf numFmtId="49" fontId="23" fillId="0" borderId="0" xfId="0" applyFont="1" applyNumberFormat="1">
      <alignment vertical="top"/>
    </xf>
    <xf numFmtId="49" fontId="23" fillId="0" borderId="0" xfId="0" applyFont="1" applyNumberFormat="1">
      <alignment vertical="top"/>
    </xf>
    <xf numFmtId="49" fontId="23" fillId="0" borderId="14" xfId="0" applyFont="1" applyBorder="1" applyNumberFormat="1">
      <alignment horizontal="center" vertical="center" wrapText="1"/>
    </xf>
    <xf numFmtId="49" fontId="23" fillId="0" borderId="21" xfId="0" applyFont="1" applyBorder="1" applyNumberFormat="1">
      <alignment horizontal="center" vertical="center" wrapText="1"/>
    </xf>
    <xf numFmtId="0" fontId="23" fillId="43" borderId="38" xfId="0" applyFont="1" applyFill="1" applyBorder="1" applyNumberFormat="1">
      <alignment horizontal="center" vertical="top" wrapText="1"/>
    </xf>
    <xf numFmtId="49" fontId="23"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43" borderId="38" xfId="0" applyFont="1" applyFill="1" applyBorder="1" applyNumberFormat="1">
      <alignment horizontal="center" vertical="center" wrapText="1"/>
    </xf>
    <xf numFmtId="0" fontId="48" fillId="0" borderId="0" xfId="0" applyFont="1" applyNumberFormat="1">
      <alignment horizontal="left" vertical="center"/>
    </xf>
    <xf numFmtId="49" fontId="23" fillId="0" borderId="21" xfId="0" applyFont="1" applyBorder="1" applyNumberFormat="1">
      <alignment horizontal="left" vertical="center" wrapText="1"/>
    </xf>
    <xf numFmtId="49" fontId="23" fillId="0" borderId="0" xfId="0" applyFont="1" applyNumberFormat="1">
      <alignment horizontal="left" vertical="center" wrapText="1"/>
    </xf>
    <xf numFmtId="49" fontId="23"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0" fontId="53" fillId="0" borderId="14" xfId="0" applyFont="1" applyBorder="1" applyNumberFormat="1">
      <alignment horizontal="center" vertical="center"/>
    </xf>
    <xf numFmtId="49" fontId="0" fillId="42" borderId="14" xfId="0" applyFont="1" applyFill="1" applyBorder="1" applyNumberFormat="1">
      <alignment horizontal="left" vertical="center" wrapText="1"/>
      <protection locked="0"/>
    </xf>
    <xf numFmtId="0" fontId="54" fillId="0" borderId="0" xfId="0" applyFont="1" applyNumberFormat="1">
      <alignment horizontal="center" vertical="top"/>
    </xf>
    <xf numFmtId="49" fontId="23" fillId="0" borderId="38" xfId="0" applyFont="1" applyBorder="1" applyNumberFormat="1">
      <alignment horizontal="center" vertical="top" wrapText="1"/>
    </xf>
    <xf numFmtId="0" fontId="23" fillId="0" borderId="14" xfId="0" applyFont="1" applyBorder="1" applyNumberFormat="1">
      <alignment horizontal="left" vertical="center" wrapText="1"/>
    </xf>
    <xf numFmtId="0" fontId="44" fillId="0" borderId="14" xfId="0" applyFont="1" applyBorder="1" applyNumberFormat="1">
      <alignment horizontal="center" vertical="center" wrapText="1"/>
    </xf>
    <xf numFmtId="49" fontId="48" fillId="40" borderId="53" xfId="0" applyFont="1" applyFill="1" applyBorder="1" applyNumberFormat="1">
      <alignment horizontal="left" vertical="center" indent="1"/>
    </xf>
    <xf numFmtId="49" fontId="23" fillId="39" borderId="14" xfId="0" applyFont="1" applyFill="1" applyBorder="1" applyNumberFormat="1">
      <alignment horizontal="left" vertical="center" wrapText="1"/>
      <protection locked="0"/>
    </xf>
    <xf numFmtId="49" fontId="55" fillId="0" borderId="14" xfId="0" applyFont="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0" fontId="23" fillId="0" borderId="14" xfId="0" applyFont="1" applyBorder="1" applyNumberFormat="1">
      <alignment horizontal="center" vertical="center" wrapText="1"/>
    </xf>
    <xf numFmtId="0" fontId="54" fillId="0" borderId="0" xfId="0" applyFont="1" applyNumberFormat="1">
      <alignment horizontal="center" vertical="center" wrapText="1"/>
    </xf>
    <xf numFmtId="0" fontId="0" fillId="0" borderId="14" xfId="0" applyFont="1" applyBorder="1" applyNumberFormat="1">
      <alignment horizontal="left" vertical="center" wrapText="1"/>
    </xf>
    <xf numFmtId="0" fontId="23" fillId="0" borderId="38" xfId="0" applyFont="1" applyBorder="1" applyNumberFormat="1">
      <alignment horizontal="center" vertical="center" wrapText="1"/>
    </xf>
    <xf numFmtId="0" fontId="23" fillId="37" borderId="16" xfId="0" applyFont="1" applyFill="1" applyBorder="1" applyNumberFormat="1">
      <alignment horizontal="center" vertical="center" wrapText="1"/>
    </xf>
    <xf numFmtId="49" fontId="0"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3" borderId="16" xfId="0" applyFont="1" applyFill="1" applyBorder="1" applyNumberFormat="1">
      <alignment horizontal="left" vertical="center" wrapText="1"/>
    </xf>
    <xf numFmtId="0" fontId="23" fillId="0" borderId="25" xfId="0" applyFont="1" applyBorder="1" applyNumberFormat="1">
      <alignment horizontal="center" vertical="center" wrapText="1"/>
    </xf>
    <xf numFmtId="0" fontId="53" fillId="0" borderId="15" xfId="0" applyFont="1" applyBorder="1" applyNumberFormat="1">
      <alignment horizontal="center" vertical="center"/>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0" fontId="45" fillId="0" borderId="0" xfId="0" applyFont="1" applyNumberFormat="1">
      <alignment horizontal="center" vertical="center" wrapText="1"/>
    </xf>
    <xf numFmtId="0" fontId="50" fillId="0" borderId="0" xfId="0" applyFont="1" applyNumberFormat="1">
      <alignment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vertical="top"/>
    </xf>
    <xf numFmtId="49" fontId="23" fillId="0" borderId="0" xfId="0" applyFont="1" applyNumberFormat="1">
      <alignment vertical="top"/>
    </xf>
    <xf numFmtId="0" fontId="45" fillId="37" borderId="0" xfId="0" applyFont="1" applyFill="1" applyNumberFormat="1">
      <alignment vertical="top" wrapText="1"/>
    </xf>
    <xf numFmtId="49" fontId="127" fillId="42" borderId="14" xfId="0" applyFont="1" applyFill="1" applyBorder="1" applyNumberFormat="1">
      <alignment horizontal="left" vertical="center" wrapText="1"/>
      <protection locked="0"/>
    </xf>
    <xf numFmtId="49" fontId="45" fillId="0" borderId="0" xfId="0" applyFont="1" applyNumberFormat="1">
      <alignment horizontal="center" vertical="center" wrapText="1"/>
    </xf>
    <xf numFmtId="0" fontId="45" fillId="0" borderId="26" xfId="0" applyFont="1" applyBorder="1" applyNumberFormat="1">
      <alignment horizontal="center" vertical="center" wrapText="1"/>
    </xf>
    <xf numFmtId="49" fontId="128" fillId="0" borderId="0" xfId="0" applyFont="1" applyNumberFormat="1">
      <alignment horizontal="center" vertical="top" wrapText="1"/>
    </xf>
    <xf numFmtId="49" fontId="0" fillId="38" borderId="38" xfId="0" applyFont="1" applyFill="1" applyBorder="1" applyNumberFormat="1">
      <alignment vertical="top"/>
    </xf>
    <xf numFmtId="49" fontId="0" fillId="0" borderId="38" xfId="0" applyFont="1" applyBorder="1" applyNumberFormat="1">
      <alignment vertical="top"/>
    </xf>
    <xf numFmtId="49" fontId="0" fillId="42" borderId="38" xfId="0" applyFont="1" applyFill="1" applyBorder="1" applyNumberFormat="1">
      <alignment vertical="top"/>
      <protection locked="0"/>
    </xf>
    <xf numFmtId="49" fontId="0" fillId="42" borderId="19" xfId="0" applyFont="1" applyFill="1" applyBorder="1" applyNumberFormat="1">
      <alignment vertical="top"/>
      <protection locked="0"/>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49" fontId="0" fillId="0" borderId="0" xfId="0" applyFont="1" applyNumberFormat="1">
      <alignment vertical="top"/>
    </xf>
    <xf numFmtId="49" fontId="0" fillId="0" borderId="21" xfId="0" applyFont="1" applyBorder="1" applyNumberFormat="1">
      <alignment vertical="top"/>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45" fillId="0" borderId="0" xfId="0" applyFont="1" applyNumberFormat="1">
      <alignment horizontal="center" vertical="center" wrapText="1"/>
    </xf>
    <xf numFmtId="49" fontId="0" fillId="42" borderId="14"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40" borderId="17" xfId="0" applyFont="1" applyFill="1" applyBorder="1" applyNumberFormat="1">
      <alignment vertical="center"/>
    </xf>
    <xf numFmtId="49" fontId="0" fillId="0" borderId="38" xfId="0" applyFont="1" applyBorder="1" applyNumberFormat="1">
      <alignment horizontal="left" vertical="top"/>
    </xf>
    <xf numFmtId="49" fontId="0" fillId="43" borderId="38"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0" fillId="43" borderId="38" xfId="0" applyFont="1" applyFill="1" applyBorder="1" applyNumberFormat="1">
      <alignment horizontal="left" vertical="center" wrapText="1"/>
      <protection locked="0"/>
    </xf>
    <xf numFmtId="49" fontId="0" fillId="0" borderId="0" xfId="0" applyFont="1" applyNumberFormat="1">
      <alignment vertical="top"/>
    </xf>
    <xf numFmtId="49" fontId="0" fillId="39" borderId="38" xfId="0" applyFont="1" applyFill="1" applyBorder="1" applyNumberFormat="1">
      <alignment vertical="top"/>
      <protection locked="0"/>
    </xf>
    <xf numFmtId="49" fontId="0" fillId="0" borderId="21" xfId="0" applyFont="1" applyBorder="1" applyNumberFormat="1">
      <alignment horizontal="left" vertical="center" wrapText="1"/>
    </xf>
    <xf numFmtId="0" fontId="0" fillId="0" borderId="0" xfId="0" applyFont="1" applyNumberFormat="1">
      <alignment vertical="center"/>
    </xf>
    <xf numFmtId="0" fontId="0" fillId="0" borderId="29" xfId="0" applyFont="1" applyBorder="1" applyNumberFormat="1">
      <alignment vertical="center"/>
    </xf>
    <xf numFmtId="49" fontId="45" fillId="0" borderId="38" xfId="0" applyFont="1" applyBorder="1" applyNumberFormat="1">
      <alignment vertical="center" wrapText="1"/>
    </xf>
    <xf numFmtId="49" fontId="45" fillId="0" borderId="38" xfId="0" applyFont="1" applyBorder="1" applyNumberFormat="1">
      <alignment horizontal="center" vertical="center" wrapText="1"/>
    </xf>
    <xf numFmtId="49" fontId="45" fillId="0" borderId="21" xfId="0" applyFont="1" applyBorder="1" applyNumberFormat="1">
      <alignment vertical="center" wrapText="1"/>
    </xf>
    <xf numFmtId="49" fontId="45" fillId="0" borderId="0" xfId="0" applyFont="1" applyNumberFormat="1">
      <alignment vertical="center" wrapText="1"/>
    </xf>
    <xf numFmtId="49" fontId="45" fillId="0" borderId="0" xfId="0" applyFont="1" applyNumberFormat="1">
      <alignment horizontal="center" vertical="center" wrapText="1"/>
    </xf>
    <xf numFmtId="0" fontId="23" fillId="37" borderId="25" xfId="0" applyFont="1" applyFill="1" applyBorder="1" applyNumberFormat="1">
      <alignment horizontal="center" vertical="center" wrapText="1"/>
    </xf>
    <xf numFmtId="0" fontId="23" fillId="0" borderId="38" xfId="0" applyFont="1" applyBorder="1" applyNumberFormat="1">
      <alignment horizontal="left" vertical="top" wrapText="1"/>
    </xf>
    <xf numFmtId="0" fontId="0" fillId="0" borderId="15" xfId="0" applyFont="1" applyBorder="1" applyNumberFormat="1">
      <alignment horizontal="center" vertical="center" wrapText="1"/>
    </xf>
    <xf numFmtId="4" fontId="0" fillId="42" borderId="15" xfId="0" applyFont="1" applyFill="1" applyBorder="1" applyNumberFormat="1">
      <alignment horizontal="right" vertical="center" wrapText="1"/>
      <protection locked="0"/>
    </xf>
    <xf numFmtId="0" fontId="0" fillId="0" borderId="15" xfId="0" applyFont="1" applyBorder="1" applyNumberFormat="1">
      <alignment horizontal="center" vertical="center" wrapText="1"/>
    </xf>
    <xf numFmtId="0" fontId="23" fillId="43" borderId="14" xfId="0" applyFont="1" applyFill="1" applyBorder="1" applyNumberFormat="1">
      <alignment horizontal="left" vertical="center" wrapText="1"/>
    </xf>
    <xf numFmtId="49" fontId="0" fillId="37" borderId="19" xfId="0" applyFont="1" applyFill="1" applyBorder="1" applyNumberFormat="1">
      <alignment horizontal="center" vertical="center" wrapText="1"/>
    </xf>
    <xf numFmtId="0" fontId="0" fillId="0" borderId="25" xfId="0" applyFont="1" applyBorder="1" applyNumberFormat="1">
      <alignment horizontal="center" vertical="center" wrapText="1"/>
    </xf>
    <xf numFmtId="0" fontId="23" fillId="43" borderId="16" xfId="0" applyFont="1" applyFill="1" applyBorder="1" applyNumberFormat="1">
      <alignment horizontal="left" vertical="center" wrapText="1"/>
    </xf>
    <xf numFmtId="49" fontId="0" fillId="0" borderId="14" xfId="0" applyFont="1" applyBorder="1" applyNumberFormat="1">
      <alignment horizontal="center" vertical="center" wrapText="1"/>
    </xf>
    <xf numFmtId="49" fontId="53" fillId="56" borderId="0" xfId="0" applyFont="1" applyFill="1" applyNumberFormat="1">
      <alignment vertical="center" wrapText="1"/>
    </xf>
    <xf numFmtId="0" fontId="54" fillId="0" borderId="0" xfId="0" applyFont="1" applyNumberFormat="1">
      <alignment vertical="top" wrapText="1"/>
    </xf>
    <xf numFmtId="49" fontId="40" fillId="0" borderId="0" xfId="0" applyFont="1" applyNumberFormat="1">
      <alignment horizontal="center" vertical="top" wrapText="1"/>
    </xf>
    <xf numFmtId="49" fontId="23" fillId="0" borderId="0" xfId="0" applyFont="1" applyNumberFormat="1">
      <alignment horizontal="center" vertical="top" wrapText="1"/>
    </xf>
    <xf numFmtId="49" fontId="23" fillId="37" borderId="0" xfId="0" applyFont="1" applyFill="1" applyNumberFormat="1">
      <alignment horizontal="center" vertical="top" wrapText="1"/>
    </xf>
    <xf numFmtId="0" fontId="0" fillId="0" borderId="3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0" fontId="23" fillId="42" borderId="14" xfId="0" applyFont="1" applyFill="1" applyBorder="1" applyNumberFormat="1">
      <alignment horizontal="center" vertical="center" wrapText="1"/>
      <protection locked="0"/>
    </xf>
    <xf numFmtId="49" fontId="23" fillId="38" borderId="14" xfId="0" applyFont="1" applyFill="1" applyBorder="1" applyNumberFormat="1">
      <alignment horizontal="center" vertical="center" wrapText="1"/>
    </xf>
    <xf numFmtId="0" fontId="0" fillId="0" borderId="14" xfId="0" applyFont="1" applyBorder="1" applyNumberFormat="1">
      <alignment horizontal="left" vertical="top" wrapText="1"/>
    </xf>
    <xf numFmtId="14" fontId="23" fillId="43" borderId="14" xfId="0" applyFont="1" applyFill="1" applyBorder="1" applyNumberFormat="1">
      <alignment horizontal="left" vertical="center" wrapText="1" indent="1"/>
    </xf>
    <xf numFmtId="49" fontId="32" fillId="0" borderId="14" xfId="0" applyFont="1" applyBorder="1" applyNumberFormat="1">
      <alignment horizontal="left" vertical="center" wrapText="1" indent="1"/>
    </xf>
    <xf numFmtId="0"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0" fontId="23" fillId="0" borderId="25" xfId="0" applyFont="1" applyBorder="1" applyNumberFormat="1">
      <alignment horizontal="left" vertical="center" wrapText="1" inden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165" fontId="23" fillId="0" borderId="25" xfId="0" applyFont="1" applyBorder="1" applyNumberFormat="1">
      <alignment horizontal="center" vertical="center" wrapText="1"/>
    </xf>
    <xf numFmtId="0" fontId="23" fillId="0" borderId="0" xfId="0" applyFont="1" applyNumberFormat="1">
      <alignment horizontal="right" vertical="center" wrapText="1"/>
    </xf>
    <xf numFmtId="0" fontId="23" fillId="37" borderId="14" xfId="0" applyFont="1" applyFill="1" applyBorder="1" applyNumberFormat="1">
      <alignment vertical="top" wrapText="1"/>
    </xf>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49" fontId="0" fillId="40" borderId="31" xfId="0" applyFont="1" applyFill="1" applyBorder="1" applyNumberFormat="1">
      <alignment horizontal="right" vertical="center" wrapText="1"/>
    </xf>
    <xf numFmtId="0" fontId="23" fillId="0" borderId="0" xfId="0" applyFont="1" applyNumberFormat="1">
      <alignment horizontal="left" vertical="center" wrapText="1"/>
    </xf>
    <xf numFmtId="0" fontId="0" fillId="50" borderId="0" xfId="0" applyFont="1" applyFill="1" applyNumberFormat="1">
      <alignment horizontal="right" vertical="top" wrapText="1"/>
    </xf>
    <xf numFmtId="0" fontId="23" fillId="0" borderId="0" xfId="0" applyFont="1" applyNumberFormat="1">
      <alignment horizontal="left" vertical="top" wrapText="1"/>
    </xf>
    <xf numFmtId="14" fontId="23" fillId="0" borderId="25" xfId="0" applyFont="1" applyBorder="1" applyNumberFormat="1">
      <alignment horizontal="left" vertical="center" wrapText="1" indent="1"/>
    </xf>
    <xf numFmtId="0" fontId="23" fillId="0" borderId="14"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38" borderId="14" xfId="0" applyFont="1" applyFill="1" applyBorder="1" applyNumberFormat="1">
      <alignment horizontal="left" vertical="center" wrapText="1"/>
    </xf>
    <xf numFmtId="165"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55" fillId="0" borderId="0" xfId="0" applyFont="1" applyNumberFormat="1">
      <alignment horizontal="center" vertical="center" wrapText="1"/>
    </xf>
    <xf numFmtId="49" fontId="23" fillId="42" borderId="14" xfId="0" applyFont="1" applyFill="1" applyBorder="1" applyNumberFormat="1">
      <alignment horizontal="left" vertical="center" wrapText="1"/>
      <protection locked="0"/>
    </xf>
    <xf numFmtId="0" fontId="23" fillId="37" borderId="38" xfId="0" applyFont="1" applyFill="1" applyBorder="1" applyNumberFormat="1">
      <alignment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168" fontId="23" fillId="42" borderId="14" xfId="0" applyFont="1" applyFill="1" applyBorder="1" applyNumberFormat="1">
      <alignment horizontal="left" vertical="center" wrapText="1" indent="1"/>
      <protection locked="0"/>
    </xf>
    <xf numFmtId="167" fontId="0" fillId="42" borderId="17" xfId="0" applyFont="1" applyFill="1" applyBorder="1" applyNumberFormat="1">
      <alignment horizontal="left" vertical="center" wrapText="1" indent="1"/>
      <protection locked="0"/>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34" fillId="40" borderId="31" xfId="0" applyFont="1" applyFill="1" applyBorder="1" applyNumberFormat="1">
      <alignment horizontal="left" vertical="center" wrapText="1"/>
    </xf>
    <xf numFmtId="0" fontId="23" fillId="42" borderId="14" xfId="0" applyFont="1" applyFill="1" applyBorder="1" applyNumberFormat="1">
      <alignment horizontal="left" vertical="top" wrapText="1" indent="1"/>
      <protection locked="0"/>
    </xf>
    <xf numFmtId="0" fontId="23" fillId="0" borderId="17" xfId="0" applyFont="1" applyBorder="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0" xfId="73" applyFont="1" applyNumberFormat="1">
      <alignment horizontal="center" vertical="center" wrapText="1"/>
    </xf>
    <xf numFmtId="0" fontId="44" fillId="0" borderId="0" xfId="73" applyFont="1" applyNumberFormat="1">
      <alignment horizontal="center" vertical="center" wrapText="1"/>
    </xf>
    <xf numFmtId="0" fontId="44" fillId="0" borderId="0" xfId="73" applyFont="1" applyNumberFormat="1">
      <alignment horizontal="center" vertical="center" wrapText="1"/>
    </xf>
    <xf numFmtId="0" fontId="44" fillId="0" borderId="0" xfId="73" applyFont="1" applyNumberFormat="1">
      <alignment horizontal="center" vertical="center" wrapText="1"/>
    </xf>
    <xf numFmtId="0" fontId="44" fillId="0" borderId="14" xfId="73" applyFont="1" applyBorder="1" applyNumberFormat="1">
      <alignment horizontal="center" vertical="center" wrapText="1"/>
    </xf>
    <xf numFmtId="0" fontId="23" fillId="0" borderId="14" xfId="0" applyFont="1" applyBorder="1" applyNumberFormat="1">
      <alignment horizontal="left" vertical="top"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14" xfId="0" applyFont="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0" fontId="23" fillId="37" borderId="14" xfId="0" applyFont="1" applyFill="1" applyBorder="1" applyNumberFormat="1">
      <alignment horizontal="center" vertical="center" wrapText="1"/>
    </xf>
    <xf numFmtId="0" fontId="54" fillId="0" borderId="0" xfId="0" applyFont="1" applyNumberFormat="1">
      <alignment horizontal="center" vertical="center" wrapText="1"/>
    </xf>
    <xf numFmtId="0" fontId="23" fillId="38" borderId="17" xfId="0" applyFont="1" applyFill="1" applyBorder="1" applyNumberFormat="1">
      <alignment horizontal="left"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0" fontId="85" fillId="37" borderId="21" xfId="0" applyFont="1" applyFill="1" applyBorder="1" applyNumberFormat="1">
      <alignment horizontal="center"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37" borderId="25" xfId="0" applyFont="1" applyFill="1" applyBorder="1" applyNumberFormat="1">
      <alignment horizontal="center" vertical="center" wrapText="1"/>
    </xf>
    <xf numFmtId="0" fontId="55" fillId="0" borderId="17" xfId="0" applyFont="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23" fillId="37" borderId="19" xfId="0" applyFont="1" applyFill="1" applyBorder="1" applyNumberFormat="1">
      <alignment horizontal="left" vertical="center" wrapText="1"/>
    </xf>
    <xf numFmtId="4" fontId="23" fillId="42" borderId="14" xfId="0" applyFont="1" applyFill="1" applyBorder="1" applyNumberFormat="1">
      <alignment horizontal="left" vertical="center" wrapText="1" indent="1"/>
      <protection locked="0"/>
    </xf>
    <xf numFmtId="49" fontId="23" fillId="39" borderId="19" xfId="0" applyFont="1" applyFill="1" applyBorder="1" applyNumberFormat="1">
      <alignment horizontal="left" vertical="center" wrapText="1" indent="6"/>
      <protection locked="0"/>
    </xf>
    <xf numFmtId="49" fontId="23" fillId="0" borderId="0" xfId="0" applyFont="1" applyNumberFormat="1">
      <alignment vertical="center" wrapText="1"/>
    </xf>
    <xf numFmtId="49" fontId="55"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23" fillId="37" borderId="31" xfId="0" applyFont="1" applyFill="1" applyBorder="1" applyNumberFormat="1">
      <alignment horizontal="center" vertical="center" wrapText="1"/>
    </xf>
    <xf numFmtId="0" fontId="54" fillId="0" borderId="0" xfId="0" applyFont="1" applyNumberFormat="1">
      <alignment horizontal="center" vertical="center" wrapText="1"/>
    </xf>
    <xf numFmtId="0" fontId="23" fillId="0" borderId="0" xfId="0" applyFont="1" applyNumberFormat="1">
      <alignment horizontal="right" vertical="center" wrapText="1"/>
    </xf>
    <xf numFmtId="49" fontId="23" fillId="43" borderId="17" xfId="0" applyFont="1" applyFill="1" applyBorder="1" applyNumberFormat="1">
      <alignment horizontal="center"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23" fillId="0" borderId="0" xfId="0" applyFont="1" applyNumberFormat="1">
      <alignment horizontal="left" vertical="center" indent="1"/>
    </xf>
    <xf numFmtId="49" fontId="23" fillId="0" borderId="0" xfId="0" applyFont="1" applyNumberFormat="1">
      <alignment horizontal="left" vertical="center"/>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7" borderId="0" xfId="0" applyFont="1" applyFill="1" applyNumberFormat="1">
      <alignment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49" fontId="23" fillId="39" borderId="14" xfId="0" applyFont="1" applyFill="1" applyBorder="1" applyNumberFormat="1">
      <alignment horizontal="left" vertical="center" indent="1"/>
      <protection locked="0"/>
    </xf>
    <xf numFmtId="49" fontId="23" fillId="37" borderId="14" xfId="0" applyFont="1" applyFill="1" applyBorder="1" applyNumberFormat="1">
      <alignment horizontal="center"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22" fillId="48" borderId="40" xfId="0" applyFont="1" applyFill="1" applyBorder="1" applyNumberFormat="1">
      <alignment horizontal="right" vertical="center" wrapText="1" indent="1"/>
    </xf>
    <xf numFmtId="0" fontId="22" fillId="48" borderId="0" xfId="0" applyFont="1" applyFill="1" applyNumberFormat="1">
      <alignment horizontal="right" vertical="center" wrapText="1" indent="1"/>
    </xf>
    <xf numFmtId="0" fontId="125" fillId="0" borderId="0" xfId="0" applyFont="1" applyNumberFormat="1">
      <alignment vertical="center" wrapText="1"/>
    </xf>
    <xf numFmtId="0" fontId="22" fillId="48" borderId="67" xfId="0" applyFont="1" applyFill="1" applyBorder="1" applyNumberFormat="1">
      <alignment horizontal="right" vertical="center" wrapText="1" inden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125" fillId="0" borderId="0" xfId="0" applyFont="1" applyNumberFormat="1">
      <alignment vertical="top" wrapText="1"/>
    </xf>
    <xf numFmtId="49" fontId="71" fillId="0" borderId="0" xfId="0" applyFont="1" applyNumberFormat="1">
      <alignment vertical="top" wrapText="1"/>
    </xf>
    <xf numFmtId="0" fontId="107" fillId="0" borderId="0" xfId="0" applyFont="1" applyNumberFormat="1">
      <alignment vertical="center" wrapText="1"/>
    </xf>
    <xf numFmtId="0" fontId="107" fillId="0" borderId="0" xfId="0" applyFont="1" applyNumberFormat="1">
      <alignment vertical="center"/>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101" fillId="0" borderId="0" xfId="0" applyFont="1" applyNumberFormat="1">
      <alignment horizontal="left" vertical="center" wrapText="1"/>
    </xf>
    <xf numFmtId="14" fontId="98" fillId="0" borderId="14" xfId="0" applyFont="1" applyBorder="1" applyNumberFormat="1">
      <alignment horizontal="center" vertical="center" wrapText="1"/>
    </xf>
    <xf numFmtId="0" fontId="23" fillId="0" borderId="0" xfId="0" applyFont="1" applyNumberFormat="1">
      <alignment horizontal="center" vertical="center" wrapText="1"/>
    </xf>
    <xf numFmtId="0" fontId="23" fillId="0" borderId="17" xfId="0" applyFont="1" applyBorder="1" applyNumberFormat="1">
      <alignment horizontal="left" vertical="center" wrapText="1" inden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23" fillId="0" borderId="0" xfId="0" applyFont="1" applyNumberFormat="1">
      <alignment horizontal="center" vertical="center" wrapText="1"/>
    </xf>
    <xf numFmtId="0" fontId="23" fillId="44" borderId="0" xfId="0" applyFont="1" applyFill="1" applyNumberFormat="1">
      <alignment horizontal="center"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80"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0" fontId="23" fillId="43" borderId="25"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0" fontId="0" fillId="0" borderId="21"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21" xfId="0" applyFont="1" applyBorder="1" applyNumberFormat="1">
      <alignment horizontal="left" vertical="center" wrapText="1"/>
    </xf>
    <xf numFmtId="0" fontId="0" fillId="0" borderId="14" xfId="0" applyFont="1" applyBorder="1" applyNumberFormat="1">
      <alignment horizontal="center" vertical="top"/>
    </xf>
    <xf numFmtId="49" fontId="0" fillId="0" borderId="14" xfId="0" applyFont="1" applyBorder="1" applyNumberFormat="1">
      <alignment vertical="top"/>
    </xf>
    <xf numFmtId="0" fontId="23" fillId="0" borderId="14" xfId="0" applyFont="1" applyBorder="1" applyNumberFormat="1">
      <alignment horizontal="left" vertical="top" wrapText="1"/>
    </xf>
    <xf numFmtId="49" fontId="0" fillId="0" borderId="14" xfId="0" applyFont="1" applyBorder="1" applyNumberFormat="1">
      <alignment horizontal="left" vertical="top"/>
    </xf>
    <xf numFmtId="0" fontId="23" fillId="43" borderId="19" xfId="0" applyFont="1" applyFill="1" applyBorder="1" applyNumberFormat="1">
      <alignment horizontal="center" vertical="top" wrapText="1"/>
    </xf>
    <xf numFmtId="0" fontId="23" fillId="43" borderId="38" xfId="0" applyFont="1" applyFill="1" applyBorder="1" applyNumberFormat="1">
      <alignment horizontal="center" vertical="top" wrapText="1"/>
    </xf>
    <xf numFmtId="0" fontId="23" fillId="43" borderId="25"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4" xfId="0" applyFont="1" applyBorder="1" applyNumberFormat="1">
      <alignment horizontal="center" vertical="center"/>
    </xf>
    <xf numFmtId="0" fontId="0" fillId="0" borderId="21" xfId="0" applyFont="1" applyBorder="1" applyNumberFormat="1">
      <alignment horizontal="center" vertical="center"/>
    </xf>
    <xf numFmtId="0" fontId="0" fillId="0" borderId="0" xfId="0" applyFont="1" applyNumberFormat="1">
      <alignment horizontal="center" vertical="center"/>
    </xf>
    <xf numFmtId="49" fontId="23" fillId="0" borderId="21" xfId="0" applyFont="1" applyBorder="1" applyNumberFormat="1">
      <alignment horizontal="left" vertical="center" wrapText="1"/>
    </xf>
    <xf numFmtId="49" fontId="23" fillId="0" borderId="0" xfId="0" applyFont="1" applyNumberFormat="1">
      <alignment horizontal="left" vertical="center" wrapText="1"/>
    </xf>
    <xf numFmtId="49" fontId="0" fillId="0" borderId="0" xfId="0" applyFont="1" applyNumberFormat="1">
      <alignment horizontal="left" vertical="top"/>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9" xfId="0" applyFont="1" applyBorder="1" applyNumberFormat="1">
      <alignment horizontal="center" vertical="top"/>
    </xf>
    <xf numFmtId="0" fontId="0" fillId="0" borderId="38" xfId="0" applyFont="1" applyBorder="1" applyNumberFormat="1">
      <alignment horizontal="center" vertical="top"/>
    </xf>
    <xf numFmtId="0" fontId="0" fillId="0" borderId="25" xfId="0" applyFont="1" applyBorder="1" applyNumberFormat="1">
      <alignment horizontal="center" vertical="top"/>
    </xf>
    <xf numFmtId="0" fontId="23" fillId="0" borderId="19" xfId="0" applyFont="1" applyBorder="1" applyNumberFormat="1">
      <alignment horizontal="left" vertical="top" wrapText="1"/>
    </xf>
    <xf numFmtId="0" fontId="23" fillId="0" borderId="38" xfId="0" applyFont="1" applyBorder="1" applyNumberFormat="1">
      <alignment horizontal="left" vertical="top" wrapText="1"/>
    </xf>
    <xf numFmtId="0" fontId="23" fillId="0" borderId="25" xfId="0" applyFont="1" applyBorder="1" applyNumberFormat="1">
      <alignment horizontal="left" vertical="top" wrapText="1"/>
    </xf>
    <xf numFmtId="49" fontId="55" fillId="37" borderId="29" xfId="0" applyFont="1" applyFill="1" applyBorder="1" applyNumberFormat="1">
      <alignment horizontal="center"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23" fillId="0" borderId="29" xfId="0" applyFont="1" applyBorder="1" applyNumberFormat="1">
      <alignment horizontal="left" vertical="center" indent="1"/>
    </xf>
    <xf numFmtId="0" fontId="0" fillId="0" borderId="14" xfId="0" applyFont="1" applyBorder="1" applyNumberFormat="1">
      <alignment horizontal="center" vertical="center" wrapText="1"/>
    </xf>
    <xf numFmtId="0" fontId="23" fillId="0" borderId="21" xfId="0" applyFont="1" applyBorder="1" applyNumberFormat="1">
      <alignment horizontal="left" vertical="center" wrapText="1" inden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49" fontId="23" fillId="0" borderId="14" xfId="0" applyFont="1" applyBorder="1" applyNumberFormat="1">
      <alignment horizontal="center" vertical="center"/>
    </xf>
    <xf numFmtId="49" fontId="23" fillId="0" borderId="19" xfId="0" applyFont="1" applyBorder="1" applyNumberFormat="1">
      <alignment horizontal="center" vertical="center"/>
    </xf>
    <xf numFmtId="0" fontId="23" fillId="0" borderId="14" xfId="0" applyFont="1" applyBorder="1" applyNumberFormat="1">
      <alignment horizontal="left" vertical="center" wrapText="1"/>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23" fillId="43" borderId="19" xfId="0" applyFont="1" applyFill="1" applyBorder="1" applyNumberFormat="1">
      <alignment horizontal="center" vertical="center" wrapText="1"/>
    </xf>
    <xf numFmtId="49" fontId="23" fillId="43" borderId="38" xfId="0" applyFont="1" applyFill="1" applyBorder="1" applyNumberFormat="1">
      <alignment horizontal="center" vertical="center" wrapText="1"/>
    </xf>
    <xf numFmtId="0" fontId="23" fillId="0" borderId="21" xfId="0" applyFont="1" applyBorder="1" applyNumberFormat="1">
      <alignment horizontal="center" vertical="center"/>
    </xf>
    <xf numFmtId="0" fontId="23" fillId="0" borderId="0" xfId="0" applyFont="1" applyNumberFormat="1">
      <alignment horizontal="center" vertical="center"/>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0" fontId="23" fillId="0" borderId="16" xfId="0" applyFont="1" applyBorder="1" applyNumberFormat="1">
      <alignment horizontal="left" vertical="center" wrapText="1"/>
    </xf>
    <xf numFmtId="0" fontId="23" fillId="0" borderId="29" xfId="0" applyFont="1" applyBorder="1" applyNumberFormat="1">
      <alignment horizontal="left" vertical="center" wrapText="1" indent="1"/>
    </xf>
    <xf numFmtId="49" fontId="23" fillId="37" borderId="0" xfId="0" applyFont="1" applyFill="1" applyNumberFormat="1">
      <alignment horizontal="center" vertical="center" wrapText="1"/>
    </xf>
    <xf numFmtId="0" fontId="53" fillId="0" borderId="0" xfId="0" applyFont="1" applyNumberFormat="1">
      <alignment horizontal="right" vertical="top"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53" fillId="0" borderId="0" xfId="0" applyFont="1" applyNumberFormat="1">
      <alignment horizontal="left" vertical="top" wrapText="1" indent="1"/>
    </xf>
    <xf numFmtId="0" fontId="98" fillId="37" borderId="0" xfId="0" applyFont="1" applyFill="1" applyNumberFormat="1">
      <alignment horizontal="left"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7" borderId="19" xfId="0" applyFont="1" applyFill="1" applyBorder="1" applyNumberFormat="1">
      <alignment horizontal="left" vertical="top" wrapText="1"/>
    </xf>
    <xf numFmtId="0" fontId="23" fillId="37" borderId="38" xfId="0" applyFont="1" applyFill="1" applyBorder="1" applyNumberFormat="1">
      <alignment horizontal="left" vertical="top" wrapText="1"/>
    </xf>
    <xf numFmtId="0" fontId="23" fillId="37" borderId="25" xfId="0" applyFont="1" applyFill="1" applyBorder="1" applyNumberFormat="1">
      <alignment horizontal="left" vertical="top" wrapText="1"/>
    </xf>
    <xf numFmtId="0" fontId="23" fillId="37" borderId="26" xfId="0" applyFont="1" applyFill="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9" xfId="0" applyFont="1" applyBorder="1" applyNumberFormat="1">
      <alignment horizontal="left" vertical="top" wrapText="1"/>
    </xf>
    <xf numFmtId="0" fontId="0" fillId="0" borderId="25" xfId="0" applyFont="1" applyBorder="1" applyNumberFormat="1">
      <alignment horizontal="left" vertical="top"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54" fillId="0" borderId="0" xfId="0" applyFont="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3" fillId="0" borderId="21" xfId="0" applyFont="1" applyBorder="1" applyNumberFormat="1">
      <alignment horizontal="left" vertical="top" wrapText="1" indent="1"/>
    </xf>
    <xf numFmtId="49" fontId="0" fillId="0" borderId="39" xfId="0" applyFont="1" applyBorder="1" applyNumberFormat="1">
      <alignment horizontal="center" vertical="center" wrapText="1"/>
    </xf>
    <xf numFmtId="49" fontId="0" fillId="0" borderId="32" xfId="0" applyFont="1" applyBorder="1" applyNumberFormat="1">
      <alignment horizontal="center" vertical="center" wrapText="1"/>
    </xf>
    <xf numFmtId="0" fontId="23" fillId="43" borderId="21" xfId="0" applyFont="1" applyFill="1" applyBorder="1" applyNumberFormat="1">
      <alignment horizontal="left" vertical="center" wrapText="1"/>
    </xf>
    <xf numFmtId="0" fontId="23" fillId="43" borderId="29" xfId="0" applyFont="1" applyFill="1" applyBorder="1" applyNumberFormat="1">
      <alignment horizontal="left" vertical="center" wrapText="1"/>
    </xf>
    <xf numFmtId="0" fontId="23" fillId="0" borderId="25" xfId="0" applyFont="1" applyBorder="1" applyNumberFormat="1">
      <alignment horizontal="center"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0" fillId="0" borderId="38" xfId="0" applyFont="1" applyBorder="1" applyNumberFormat="1">
      <alignment horizontal="left" vertical="top" wrapText="1"/>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0" fillId="37" borderId="14" xfId="0" applyFont="1" applyFill="1" applyBorder="1" applyNumberFormat="1">
      <alignment horizontal="right" vertical="center" wrapText="1" indent="1"/>
    </xf>
    <xf numFmtId="167" fontId="23" fillId="38" borderId="14" xfId="0" applyFont="1" applyFill="1" applyBorder="1" applyNumberFormat="1">
      <alignment horizontal="left" vertical="center" wrapText="1" indent="1"/>
    </xf>
    <xf numFmtId="0" fontId="23" fillId="38" borderId="14" xfId="0" applyFont="1" applyFill="1" applyBorder="1" applyNumberFormat="1">
      <alignment horizontal="left" vertical="center" wrapText="1" indent="1"/>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49" fontId="54" fillId="0" borderId="14" xfId="0" applyFont="1" applyBorder="1" applyNumberFormat="1">
      <alignment horizontal="center" vertical="center" wrapText="1"/>
    </xf>
    <xf numFmtId="167" fontId="54" fillId="0" borderId="14" xfId="0" applyFont="1" applyBorder="1" applyNumberFormat="1">
      <alignment horizontal="center" vertical="center" wrapText="1"/>
    </xf>
    <xf numFmtId="0" fontId="23" fillId="0" borderId="0" xfId="0" applyFont="1" applyNumberFormat="1">
      <alignment horizontal="left" vertical="top" wrapText="1"/>
    </xf>
    <xf numFmtId="0" fontId="54" fillId="0" borderId="14" xfId="0" applyFont="1" applyBorder="1" applyNumberFormat="1">
      <alignment horizontal="center" vertical="center"/>
    </xf>
    <xf numFmtId="0" fontId="54" fillId="0" borderId="16" xfId="0" applyFont="1" applyBorder="1" applyNumberFormat="1">
      <alignment horizontal="center" vertical="center"/>
    </xf>
    <xf numFmtId="0" fontId="54" fillId="0" borderId="14" xfId="0" applyFont="1" applyBorder="1" applyNumberFormat="1">
      <alignment horizontal="center" vertical="center" wrapText="1"/>
    </xf>
    <xf numFmtId="0" fontId="54" fillId="0" borderId="16" xfId="0" applyFont="1" applyBorder="1" applyNumberFormat="1">
      <alignment horizontal="center" vertical="center" wrapText="1"/>
    </xf>
    <xf numFmtId="0" fontId="5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167" fontId="0" fillId="42" borderId="19" xfId="0" applyFont="1" applyFill="1" applyBorder="1" applyNumberFormat="1">
      <alignment horizontal="center" vertical="center" wrapText="1"/>
      <protection locked="0"/>
    </xf>
    <xf numFmtId="49" fontId="0" fillId="42" borderId="25" xfId="0" applyFont="1" applyFill="1" applyBorder="1" applyNumberFormat="1">
      <alignment horizontal="center" vertical="center" wrapText="1"/>
      <protection locked="0"/>
    </xf>
    <xf numFmtId="0" fontId="54" fillId="0" borderId="19" xfId="0" applyFont="1" applyBorder="1" applyNumberFormat="1">
      <alignment horizontal="center" vertical="center" wrapText="1"/>
    </xf>
    <xf numFmtId="0" fontId="54" fillId="0" borderId="2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23" fillId="37" borderId="38"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49" fontId="48" fillId="40" borderId="38" xfId="0" applyFont="1" applyFill="1" applyBorder="1" applyNumberFormat="1">
      <alignment horizontal="center" vertical="center" textRotation="90" wrapText="1"/>
    </xf>
    <xf numFmtId="49" fontId="48" fillId="40" borderId="25" xfId="0" applyFont="1" applyFill="1" applyBorder="1" applyNumberFormat="1">
      <alignment horizontal="center" vertical="center" textRotation="90" wrapText="1"/>
    </xf>
    <xf numFmtId="0" fontId="23" fillId="0" borderId="19" xfId="0" applyFont="1" applyBorder="1" applyNumberFormat="1">
      <alignment horizontal="center" vertical="center" wrapText="1"/>
    </xf>
    <xf numFmtId="0" fontId="23" fillId="0" borderId="25" xfId="0" applyFont="1" applyBorder="1" applyNumberFormat="1">
      <alignment horizontal="center" vertical="center" wrapText="1"/>
    </xf>
    <xf numFmtId="0" fontId="53" fillId="0" borderId="19" xfId="0" applyFont="1" applyBorder="1" applyNumberFormat="1">
      <alignment horizontal="left" vertical="top" wrapText="1"/>
    </xf>
    <xf numFmtId="0" fontId="53" fillId="0" borderId="38" xfId="0" applyFont="1" applyBorder="1" applyNumberFormat="1">
      <alignment horizontal="left" vertical="top" wrapText="1"/>
    </xf>
    <xf numFmtId="0" fontId="53" fillId="0" borderId="25" xfId="0" applyFont="1" applyBorder="1" applyNumberFormat="1">
      <alignment horizontal="left" vertical="top" wrapText="1"/>
    </xf>
    <xf numFmtId="0" fontId="23" fillId="0" borderId="21" xfId="0" applyFont="1" applyBorder="1" applyNumberFormat="1">
      <alignment horizontal="left" vertical="top" wrapText="1" indent="1"/>
    </xf>
    <xf numFmtId="0" fontId="23" fillId="0" borderId="29" xfId="0" applyFont="1" applyBorder="1" applyNumberFormat="1">
      <alignment horizontal="left" vertical="center" wrapText="1" inden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55" fillId="0" borderId="19" xfId="0" applyFont="1" applyBorder="1" applyNumberFormat="1">
      <alignment horizontal="center" vertical="center" wrapText="1"/>
    </xf>
    <xf numFmtId="0" fontId="55" fillId="0" borderId="25"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32" xfId="0" applyFont="1" applyBorder="1" applyNumberFormat="1">
      <alignment horizontal="center" vertical="center" wrapText="1"/>
    </xf>
    <xf numFmtId="0" fontId="0" fillId="37" borderId="21" xfId="0" applyFont="1" applyFill="1" applyBorder="1" applyNumberFormat="1">
      <alignment horizontal="center" vertical="center" wrapText="1"/>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0" fillId="0" borderId="0" xfId="0" applyFont="1" applyNumberFormat="1">
      <alignment horizontal="left" vertical="top" wrapText="1"/>
    </xf>
    <xf numFmtId="0" fontId="23" fillId="0" borderId="21" xfId="0" applyFont="1" applyBorder="1" applyNumberFormat="1">
      <alignment horizontal="left" vertical="center" wrapText="1" indent="1"/>
    </xf>
    <xf numFmtId="49" fontId="0" fillId="42" borderId="14" xfId="0" applyFont="1" applyFill="1" applyBorder="1" applyNumberFormat="1">
      <alignment horizontal="center" vertical="center" wrapText="1"/>
      <protection locked="0"/>
    </xf>
    <xf numFmtId="0" fontId="23"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23" fillId="43" borderId="22" xfId="0" applyFont="1" applyFill="1" applyBorder="1" applyNumberFormat="1">
      <alignment horizontal="left" vertical="center" wrapText="1"/>
    </xf>
    <xf numFmtId="49" fontId="23" fillId="0" borderId="14" xfId="0" applyFont="1" applyBorder="1" applyNumberFormat="1">
      <alignment horizontal="left" vertical="center" wrapText="1" inden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45"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6"/>
      <protection locked="0"/>
    </xf>
    <xf numFmtId="49" fontId="23" fillId="42" borderId="38" xfId="0" applyFont="1" applyFill="1" applyBorder="1" applyNumberFormat="1">
      <alignment horizontal="left" vertical="center" wrapText="1" indent="6"/>
      <protection locked="0"/>
    </xf>
    <xf numFmtId="49" fontId="23" fillId="42" borderId="25" xfId="0" applyFont="1" applyFill="1" applyBorder="1" applyNumberFormat="1">
      <alignment horizontal="left" vertical="center" wrapText="1" indent="6"/>
      <protection locked="0"/>
    </xf>
    <xf numFmtId="0" fontId="23" fillId="37" borderId="19" xfId="0" applyFont="1" applyFill="1" applyBorder="1" applyNumberFormat="1">
      <alignment horizontal="left" vertical="center" wrapText="1"/>
    </xf>
    <xf numFmtId="0" fontId="23" fillId="37" borderId="38" xfId="0" applyFont="1" applyFill="1" applyBorder="1" applyNumberFormat="1">
      <alignment horizontal="left" vertical="center" wrapText="1"/>
    </xf>
    <xf numFmtId="0" fontId="23" fillId="37" borderId="25" xfId="0" applyFont="1" applyFill="1" applyBorder="1" applyNumberFormat="1">
      <alignment horizontal="left" vertical="center" wrapText="1"/>
    </xf>
    <xf numFmtId="0" fontId="55" fillId="0" borderId="26" xfId="0" applyFont="1" applyBorder="1" applyNumberFormat="1">
      <alignment horizontal="center" vertical="top" wrapText="1"/>
    </xf>
    <xf numFmtId="0" fontId="0" fillId="37" borderId="26"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49" fontId="23" fillId="43" borderId="14" xfId="0" applyFont="1" applyFill="1" applyBorder="1" applyNumberFormat="1">
      <alignment horizontal="left" vertical="center" wrapText="1" inden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0" fontId="53" fillId="0" borderId="14" xfId="0" applyFont="1" applyBorder="1" applyNumberFormat="1">
      <alignment horizontal="left" vertical="top" wrapText="1"/>
    </xf>
    <xf numFmtId="0" fontId="23" fillId="42" borderId="15" xfId="0" applyFont="1" applyFill="1" applyBorder="1" applyNumberFormat="1">
      <alignment horizontal="center" vertical="center" wrapTex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left" vertical="center" wrapText="1" indent="1"/>
      <protection locked="0"/>
    </xf>
    <xf numFmtId="49" fontId="23" fillId="39" borderId="19" xfId="0" applyFont="1" applyFill="1" applyBorder="1" applyNumberFormat="1">
      <alignment horizontal="left" vertical="center" wrapText="1" indent="6"/>
      <protection locked="0"/>
    </xf>
    <xf numFmtId="49" fontId="23" fillId="39" borderId="38" xfId="0" applyFont="1" applyFill="1" applyBorder="1" applyNumberFormat="1">
      <alignment horizontal="left" vertical="center" wrapText="1" indent="6"/>
      <protection locked="0"/>
    </xf>
    <xf numFmtId="49" fontId="23" fillId="39" borderId="25" xfId="0" applyFont="1" applyFill="1" applyBorder="1" applyNumberFormat="1">
      <alignment horizontal="left" vertical="center" wrapText="1" indent="6"/>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43" borderId="31" xfId="0" applyFont="1" applyFill="1" applyBorder="1" applyNumberFormat="1">
      <alignment horizontal="center" vertical="center" wrapText="1"/>
    </xf>
    <xf numFmtId="0" fontId="55" fillId="0" borderId="21" xfId="0" applyFont="1" applyBorder="1" applyNumberFormat="1">
      <alignment horizontal="left" vertical="center" wrapText="1"/>
    </xf>
    <xf numFmtId="49"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96" fillId="48" borderId="0" xfId="0" applyFont="1" applyFill="1" applyNumberFormat="1">
      <alignment horizontal="center" vertical="center" textRotation="90"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49" fontId="55" fillId="0" borderId="19" xfId="0" applyFont="1" applyBorder="1" applyNumberFormat="1">
      <alignment horizontal="center" vertical="center" wrapText="1"/>
    </xf>
    <xf numFmtId="49" fontId="55" fillId="0" borderId="38" xfId="0" applyFont="1" applyBorder="1" applyNumberFormat="1">
      <alignment horizontal="center" vertical="center" wrapText="1"/>
    </xf>
    <xf numFmtId="49" fontId="55" fillId="0" borderId="25" xfId="0" applyFont="1" applyBorder="1" applyNumberFormat="1">
      <alignment horizontal="center" vertical="center" wrapText="1"/>
    </xf>
    <xf numFmtId="0" fontId="0" fillId="38" borderId="14" xfId="0" applyFont="1" applyFill="1" applyBorder="1" applyNumberFormat="1">
      <alignment horizontal="left" vertical="center" wrapText="1" indent="1"/>
    </xf>
    <xf numFmtId="0" fontId="53" fillId="0" borderId="0" xfId="0" applyFont="1" applyNumberFormat="1">
      <alignment horizontal="left" vertical="top" wrapText="1"/>
    </xf>
    <xf numFmtId="0" fontId="23" fillId="0" borderId="25" xfId="0" applyFont="1" applyBorder="1" applyNumberFormat="1">
      <alignment horizontal="left" vertical="center" wrapText="1"/>
    </xf>
    <xf numFmtId="0" fontId="55" fillId="0" borderId="0" xfId="0" applyFont="1" applyNumberFormat="1">
      <alignment horizontal="center" vertical="center" wrapText="1"/>
    </xf>
    <xf numFmtId="0" fontId="54" fillId="0" borderId="0" xfId="0" applyFont="1" applyNumberFormat="1">
      <alignment horizontal="center" vertical="top"/>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23" fillId="58" borderId="0" xfId="0" applyFont="1" applyFill="1" applyNumberFormat="1">
      <alignment horizontal="center" vertical="center" textRotation="90" wrapText="1"/>
    </xf>
    <xf numFmtId="0" fontId="23" fillId="0" borderId="0" xfId="0" applyFont="1" applyNumberFormat="1">
      <alignment horizontal="left" vertical="top"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49" fontId="0" fillId="0" borderId="14" xfId="0" applyFont="1" applyBorder="1" applyNumberFormat="1">
      <alignment horizontal="center" vertical="center" wrapText="1"/>
    </xf>
    <xf numFmtId="49" fontId="23" fillId="0" borderId="16" xfId="0" applyFont="1" applyBorder="1" applyNumberFormat="1">
      <alignment horizontal="center" vertical="center" wrapText="1"/>
    </xf>
    <xf numFmtId="49" fontId="55"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0" borderId="14" xfId="0" applyFont="1" applyBorder="1" applyNumberFormat="1">
      <alignment horizontal="center" vertical="center" wrapText="1"/>
    </xf>
    <xf numFmtId="0" fontId="23" fillId="0" borderId="0" xfId="0" applyFont="1" applyNumberFormat="1">
      <alignment horizontal="lef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49" fontId="0" fillId="0" borderId="14" xfId="0" applyFont="1" applyBorder="1" applyNumberFormat="1">
      <alignment vertical="center" wrapText="1"/>
    </xf>
    <xf numFmtId="49" fontId="0" fillId="0" borderId="14" xfId="0" applyFont="1" applyBorder="1" applyNumberFormat="1">
      <alignment horizontal="left" vertical="center" wrapText="1"/>
    </xf>
    <xf numFmtId="49" fontId="0" fillId="0" borderId="19" xfId="0" applyFont="1" applyBorder="1" applyNumberFormat="1">
      <alignment horizontal="center" vertical="center" wrapText="1"/>
    </xf>
    <xf numFmtId="49" fontId="0" fillId="0" borderId="38" xfId="0" applyFont="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14" xfId="0" applyFont="1" applyBorder="1" applyNumberFormat="1">
      <alignment horizontal="center" vertical="center"/>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34" borderId="29"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0" fontId="23" fillId="0" borderId="22" xfId="0" applyFont="1" applyBorder="1" applyNumberFormat="1">
      <alignment horizontal="left" vertical="top"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14" xfId="0" applyFont="1" applyFill="1" applyBorder="1" applyNumberFormat="1">
      <alignment horizontal="center" vertical="center"/>
    </xf>
    <xf numFmtId="0" fontId="0"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7" xfId="0" applyFont="1" applyBorder="1" applyNumberFormat="1">
      <alignment horizontal="left" vertical="top" wrapText="1" indent="1"/>
    </xf>
    <xf numFmtId="0" fontId="47" fillId="37" borderId="0" xfId="0" applyFont="1" applyFill="1" applyNumberFormat="1">
      <alignment horizontal="center" vertical="top" wrapText="1"/>
    </xf>
    <xf numFmtId="49" fontId="44" fillId="37" borderId="21"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0" fillId="38" borderId="16" xfId="0" applyFont="1" applyFill="1" applyBorder="1" applyNumberFormat="1">
      <alignment horizontal="left" vertical="center" wrapText="1" indent="1"/>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0" fillId="37" borderId="19" xfId="0" applyFont="1" applyFill="1" applyBorder="1" applyNumberFormat="1">
      <alignment horizontal="left" vertical="top" wrapText="1"/>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4"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4" fontId="23" fillId="0" borderId="38" xfId="0" applyFont="1" applyBorder="1" applyNumberFormat="1">
      <alignment horizontal="center" vertical="center" wrapText="1"/>
    </xf>
    <xf numFmtId="0" fontId="23" fillId="0" borderId="31" xfId="0" applyFont="1" applyBorder="1" applyNumberFormat="1">
      <alignment horizontal="left" vertical="top" wrapText="1"/>
    </xf>
    <xf numFmtId="165" fontId="23" fillId="0" borderId="19"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9" fontId="23" fillId="0" borderId="14" xfId="0" applyFont="1" applyBorder="1" applyNumberFormat="1">
      <alignment horizontal="left" vertical="top" wrapText="1"/>
    </xf>
    <xf numFmtId="49" fontId="129" fillId="0" borderId="14" xfId="0" applyFont="1" applyBorder="1" applyNumberFormat="1">
      <alignment horizontal="left" vertical="top" wrapText="1"/>
    </xf>
    <xf numFmtId="0" fontId="23" fillId="0" borderId="17" xfId="0" applyFont="1" applyBorder="1" applyNumberFormat="1">
      <alignment horizontal="left"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165" fontId="53" fillId="0" borderId="21" xfId="0" applyFont="1" applyBorder="1" applyNumberFormat="1">
      <alignment horizontal="center" vertical="center" wrapText="1"/>
    </xf>
    <xf numFmtId="49" fontId="23" fillId="43" borderId="32" xfId="0" applyFont="1" applyFill="1" applyBorder="1" applyNumberFormat="1">
      <alignment horizontal="left" vertical="center" wrapText="1"/>
    </xf>
    <xf numFmtId="49" fontId="23" fillId="43" borderId="25" xfId="0" applyFont="1" applyFill="1" applyBorder="1" applyNumberFormat="1">
      <alignment horizontal="left" vertical="center" wrapText="1"/>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0" borderId="0" xfId="0" applyFont="1" applyNumberFormat="1">
      <alignment horizontal="left" vertical="top" wrapText="1"/>
    </xf>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49" fontId="23" fillId="0" borderId="0" xfId="0" applyFont="1" applyNumberFormat="1">
      <alignment horizontal="left" vertical="top" wrapText="1"/>
    </xf>
    <xf numFmtId="49" fontId="0" fillId="0" borderId="17" xfId="0" applyFont="1" applyBorder="1" applyNumberFormat="1">
      <alignment horizontal="left" vertical="center" inden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49" fontId="23" fillId="43" borderId="25"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49"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3" borderId="19" xfId="0" applyFont="1" applyFill="1" applyBorder="1" applyNumberFormat="1">
      <alignment horizontal="left" vertical="center" wrapText="1" indent="1"/>
    </xf>
    <xf numFmtId="49" fontId="23" fillId="43" borderId="38" xfId="0" applyFont="1" applyFill="1" applyBorder="1" applyNumberFormat="1">
      <alignment horizontal="left" vertical="center" wrapText="1" indent="1"/>
    </xf>
    <xf numFmtId="49" fontId="23" fillId="43" borderId="25"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28" fillId="0" borderId="14" xfId="0" applyFont="1" applyBorder="1" applyNumberFormat="1">
      <alignment horizontal="center" vertical="center" wrapText="1"/>
    </xf>
    <xf numFmtId="0" fontId="53" fillId="0" borderId="14" xfId="0" applyFont="1" applyBorder="1" applyNumberFormat="1">
      <alignment horizontal="center" vertical="center"/>
    </xf>
    <xf numFmtId="49" fontId="23" fillId="38" borderId="14" xfId="0" applyFont="1" applyFill="1" applyBorder="1" applyNumberFormat="1">
      <alignment horizontal="left" vertical="center" wrapText="1"/>
    </xf>
    <xf numFmtId="0" fontId="0" fillId="0" borderId="14" xfId="0" applyFont="1" applyBorder="1" applyNumberFormat="1">
      <alignment horizontal="center" vertical="center"/>
    </xf>
    <xf numFmtId="49" fontId="0" fillId="0" borderId="14" xfId="0" applyFont="1" applyBorder="1" applyNumberFormat="1">
      <alignment vertical="top"/>
    </xf>
    <xf numFmtId="49" fontId="23" fillId="42" borderId="14" xfId="0" applyFont="1" applyFill="1" applyBorder="1" applyNumberFormat="1">
      <alignment horizontal="left" vertical="top" wrapText="1"/>
      <protection locked="0"/>
    </xf>
    <xf numFmtId="49" fontId="23" fillId="0" borderId="15" xfId="0" applyFont="1" applyBorder="1" applyNumberFormat="1">
      <alignment horizontal="center" vertical="center" wrapText="1"/>
    </xf>
    <xf numFmtId="0" fontId="23" fillId="39" borderId="14" xfId="0" applyFont="1" applyFill="1" applyBorder="1" applyNumberFormat="1">
      <alignment horizontal="left" vertical="top" wrapText="1"/>
      <protection locked="0"/>
    </xf>
    <xf numFmtId="49" fontId="0" fillId="42" borderId="14" xfId="0" applyFont="1" applyFill="1" applyBorder="1" applyNumberFormat="1">
      <alignment horizontal="left" vertical="center" wrapText="1"/>
      <protection locked="0"/>
    </xf>
    <xf numFmtId="0" fontId="23" fillId="43" borderId="14" xfId="0" applyFont="1" applyFill="1" applyBorder="1" applyNumberFormat="1">
      <alignment horizontal="left" vertical="top" wrapText="1"/>
    </xf>
    <xf numFmtId="49" fontId="0" fillId="43" borderId="14" xfId="0" applyFont="1" applyFill="1" applyBorder="1" applyNumberFormat="1">
      <alignment horizontal="lef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49" fontId="23" fillId="0" borderId="25" xfId="0" applyFont="1" applyBorder="1" applyNumberFormat="1">
      <alignment horizontal="center" vertical="center"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45" fillId="0" borderId="19" xfId="0" applyFont="1" applyBorder="1" applyNumberFormat="1">
      <alignment horizontal="center" vertical="top" wrapText="1"/>
    </xf>
    <xf numFmtId="49" fontId="23" fillId="0" borderId="38" xfId="0" applyFont="1" applyBorder="1" applyNumberFormat="1">
      <alignment horizontal="center" vertical="top" wrapText="1"/>
    </xf>
    <xf numFmtId="49" fontId="23" fillId="0" borderId="25"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0" fontId="0" fillId="0" borderId="14" xfId="0" applyFont="1" applyBorder="1" applyNumberFormat="1">
      <alignment horizontal="center" vertical="center" wrapText="1"/>
    </xf>
    <xf numFmtId="0" fontId="0" fillId="0" borderId="21"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4" xfId="0" applyFont="1" applyBorder="1" applyNumberFormat="1">
      <alignment horizontal="left" vertical="top"/>
    </xf>
    <xf numFmtId="0" fontId="0" fillId="43" borderId="14" xfId="0" applyFont="1" applyFill="1" applyBorder="1" applyNumberFormat="1">
      <alignment horizontal="left" vertical="center" wrapText="1"/>
      <protection locked="0"/>
    </xf>
    <xf numFmtId="49" fontId="0" fillId="43"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49" fontId="0" fillId="39" borderId="14" xfId="0" applyFont="1" applyFill="1" applyBorder="1" applyNumberFormat="1">
      <alignment horizontal="left" vertical="top"/>
      <protection locked="0"/>
    </xf>
    <xf numFmtId="0" fontId="0" fillId="0" borderId="21" xfId="0" applyFont="1" applyBorder="1" applyNumberFormat="1">
      <alignment horizontal="center" vertical="center"/>
    </xf>
    <xf numFmtId="0" fontId="0" fillId="0" borderId="0" xfId="0" applyFont="1" applyNumberFormat="1">
      <alignment horizontal="center" vertical="center"/>
    </xf>
    <xf numFmtId="49" fontId="0" fillId="0" borderId="21" xfId="0" applyFont="1" applyBorder="1" applyNumberFormat="1">
      <alignment horizontal="left" vertical="center" wrapText="1"/>
    </xf>
    <xf numFmtId="14" fontId="86" fillId="0" borderId="19" xfId="0" applyFont="1" applyBorder="1" applyNumberFormat="1">
      <alignment horizontal="center" vertical="center" wrapText="1"/>
    </xf>
    <xf numFmtId="14" fontId="86" fillId="0" borderId="38" xfId="0" applyFont="1" applyBorder="1" applyNumberFormat="1">
      <alignment horizontal="center" vertical="center" wrapText="1"/>
    </xf>
    <xf numFmtId="0" fontId="80" fillId="0" borderId="14" xfId="0" applyFont="1" applyBorder="1" applyNumberFormat="1">
      <alignment horizontal="left" vertical="center" wrapText="1" indent="1"/>
    </xf>
    <xf numFmtId="0" fontId="80" fillId="0" borderId="14" xfId="0" applyFont="1" applyBorder="1" applyNumberFormat="1">
      <alignment horizontal="left" vertical="top" indent="1"/>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4" xfId="0" applyFont="1" applyBorder="1" applyNumberFormat="1">
      <alignment horizontal="center" vertical="center"/>
    </xf>
    <xf numFmtId="49" fontId="0" fillId="0" borderId="0" xfId="0" applyFont="1" applyNumberFormat="1">
      <alignment horizontal="left" vertical="top"/>
    </xf>
    <xf numFmtId="49" fontId="23" fillId="43" borderId="14" xfId="0" applyFont="1" applyFill="1" applyBorder="1" applyNumberFormat="1">
      <alignment horizontal="center" vertical="top" wrapText="1"/>
    </xf>
    <xf numFmtId="49" fontId="23" fillId="43" borderId="16" xfId="0" applyFont="1" applyFill="1" applyBorder="1" applyNumberFormat="1">
      <alignment horizontal="center" vertical="top" wrapText="1"/>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49" fontId="23" fillId="43" borderId="16" xfId="0" applyFont="1" applyFill="1" applyBorder="1" applyNumberFormat="1">
      <alignment horizontal="center" vertical="center" wrapText="1"/>
    </xf>
    <xf numFmtId="49" fontId="48" fillId="40" borderId="53" xfId="0" applyFont="1" applyFill="1" applyBorder="1" applyNumberFormat="1">
      <alignment horizontal="left" vertical="center" indent="1"/>
    </xf>
    <xf numFmtId="49" fontId="23" fillId="38" borderId="14" xfId="0" applyFont="1" applyFill="1" applyBorder="1" applyNumberFormat="1">
      <alignment horizontal="center" vertical="center" wrapText="1"/>
    </xf>
    <xf numFmtId="49" fontId="23" fillId="38" borderId="77" xfId="0" applyFont="1" applyFill="1" applyBorder="1" applyNumberFormat="1">
      <alignment horizontal="center" vertical="center" wrapText="1"/>
    </xf>
    <xf numFmtId="3" fontId="23" fillId="42" borderId="14" xfId="0" applyFont="1" applyFill="1" applyBorder="1" applyNumberFormat="1">
      <alignment horizontal="center" vertical="center" wrapText="1"/>
      <protection locked="0"/>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128" fillId="0" borderId="15" xfId="0" applyFont="1" applyBorder="1" applyNumberFormat="1">
      <alignment horizontal="center" vertical="center" wrapText="1"/>
    </xf>
    <xf numFmtId="0" fontId="23" fillId="43" borderId="19" xfId="0" applyFont="1" applyFill="1" applyBorder="1" applyNumberFormat="1">
      <alignment horizontal="left" vertical="center" wrapText="1"/>
    </xf>
    <xf numFmtId="0" fontId="23" fillId="43" borderId="38" xfId="0" applyFont="1" applyFill="1" applyBorder="1" applyNumberFormat="1">
      <alignment horizontal="left" vertical="center" wrapText="1"/>
    </xf>
    <xf numFmtId="49" fontId="23" fillId="43" borderId="19" xfId="0" applyFont="1" applyFill="1" applyBorder="1" applyNumberFormat="1">
      <alignment horizontal="left" vertical="center" wrapText="1"/>
    </xf>
    <xf numFmtId="49" fontId="23" fillId="0" borderId="38" xfId="0" applyFont="1" applyBorder="1" applyNumberFormat="1">
      <alignment horizontal="center" vertical="center"/>
    </xf>
    <xf numFmtId="0" fontId="23" fillId="0" borderId="26" xfId="0" applyFont="1" applyBorder="1" applyNumberFormat="1">
      <alignment horizontal="center" vertical="center"/>
    </xf>
    <xf numFmtId="49" fontId="23" fillId="39" borderId="19" xfId="0" applyFont="1" applyFill="1" applyBorder="1" applyNumberFormat="1">
      <alignment horizontal="left" vertical="center" wrapText="1"/>
      <protection locked="0"/>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100" fillId="0" borderId="14" xfId="0" applyFont="1" applyBorder="1" applyNumberFormat="1">
      <alignment horizontal="center" vertical="top" wrapText="1"/>
    </xf>
    <xf numFmtId="0" fontId="100" fillId="34" borderId="14" xfId="0" applyFont="1" applyFill="1" applyBorder="1" applyNumberFormat="1">
      <alignment horizontal="center" vertical="center" wrapText="1"/>
    </xf>
    <xf numFmtId="49" fontId="100" fillId="0" borderId="39"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25" xfId="0" applyFont="1" applyBorder="1" applyNumberFormat="1">
      <alignment horizontal="center" vertical="top" wrapText="1"/>
    </xf>
    <xf numFmtId="4" fontId="23" fillId="38" borderId="14" xfId="0" applyFont="1" applyFill="1" applyBorder="1" applyNumberFormat="1">
      <alignment horizontal="left" vertical="center" wrapText="1"/>
    </xf>
    <xf numFmtId="0" fontId="54"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0" borderId="0" xfId="0" applyFont="1" applyNumberFormat="1">
      <alignment horizontal="right" vertical="center"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0" fillId="0" borderId="14" xfId="0" applyFont="1" applyBorder="1" applyNumberFormat="1">
      <alignment horizontal="center" vertical="top"/>
    </xf>
    <xf numFmtId="49" fontId="0" fillId="0" borderId="16" xfId="0" applyFont="1" applyBorder="1" applyNumberFormat="1">
      <alignment horizontal="center" vertical="top"/>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107" fillId="0" borderId="0" xfId="0" applyFont="1" applyNumberFormat="1">
      <alignment vertical="center" wrapText="1"/>
    </xf>
    <xf numFmtId="0" fontId="107" fillId="0" borderId="0" xfId="0" applyFont="1" applyNumberFormat="1">
      <alignment horizontal="left" vertical="center" wrapText="1"/>
    </xf>
    <xf numFmtId="49" fontId="122" fillId="0" borderId="0" xfId="0" applyFont="1" applyNumberFormat="1">
      <alignment wrapText="1"/>
    </xf>
    <xf numFmtId="0" fontId="107"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71" fillId="0" borderId="0" xfId="0" applyFont="1" applyNumberFormat="1">
      <alignment wrapText="1"/>
    </xf>
    <xf numFmtId="0" fontId="22" fillId="48" borderId="40" xfId="0" applyFont="1" applyFill="1" applyBorder="1" applyNumberFormat="1">
      <alignment horizontal="right" vertical="center" wrapText="1" indent="1"/>
    </xf>
    <xf numFmtId="0" fontId="22" fillId="48" borderId="67" xfId="0" applyFont="1" applyFill="1" applyBorder="1" applyNumberFormat="1">
      <alignment horizontal="right" vertical="center" wrapText="1" inden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0" xfId="0" applyFont="1" applyNumberFormat="1">
      <alignment vertical="center" wrapText="1"/>
    </xf>
    <xf numFmtId="0" fontId="0" fillId="55" borderId="63" xfId="0" applyFont="1" applyFill="1" applyBorder="1" applyNumberFormat="1">
      <alignment horizontal="center"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22" fillId="48" borderId="0" xfId="0" applyFont="1" applyFill="1" applyNumberFormat="1">
      <alignment horizontal="right" vertical="center" wrapText="1" inden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125" fillId="0" borderId="0" xfId="0" applyFont="1" applyNumberFormat="1"/>
    <xf numFmtId="0" fontId="125" fillId="0" borderId="40" xfId="0" applyFont="1" applyBorder="1" applyNumberFormat="1">
      <alignment wrapText="1"/>
    </xf>
    <xf numFmtId="0" fontId="125" fillId="0" borderId="0" xfId="0" applyFont="1" applyNumberFormat="1">
      <alignment vertical="top" wrapTex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49" fontId="71" fillId="0" borderId="0" xfId="0" applyFont="1" applyNumberFormat="1">
      <alignment vertical="top" wrapText="1"/>
    </xf>
    <xf numFmtId="0" fontId="38" fillId="0" borderId="0" xfId="0" applyFont="1" applyNumberFormat="1"/>
    <xf numFmtId="0" fontId="68" fillId="0" borderId="0" xfId="0" applyFont="1" applyNumberFormat="1">
      <alignment vertical="center" wrapText="1"/>
    </xf>
    <xf numFmtId="0" fontId="96" fillId="0" borderId="0" xfId="0" applyFont="1" applyNumberFormat="1">
      <alignment horizontal="left" vertical="center" wrapText="1"/>
    </xf>
    <xf numFmtId="0" fontId="68" fillId="0" borderId="0" xfId="0" applyFont="1" applyNumberFormat="1">
      <alignment horizontal="left" vertical="center" wrapText="1"/>
    </xf>
    <xf numFmtId="0" fontId="40" fillId="0" borderId="0" xfId="0" applyFont="1" applyNumberFormat="1">
      <alignment horizontal="center" vertical="center" wrapText="1"/>
    </xf>
    <xf numFmtId="0" fontId="40"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horizontal="left" vertical="center" wrapText="1"/>
    </xf>
    <xf numFmtId="0" fontId="23" fillId="0" borderId="0" xfId="0" applyFont="1" applyNumberFormat="1">
      <alignment horizontal="left" vertical="top" indent="1"/>
    </xf>
    <xf numFmtId="49" fontId="71" fillId="0" borderId="0" xfId="0" applyFont="1" applyNumberFormat="1">
      <alignment vertical="top"/>
    </xf>
    <xf numFmtId="49" fontId="23" fillId="0" borderId="0" xfId="0" applyFont="1" applyNumberFormat="1">
      <alignment vertical="center" wrapText="1"/>
    </xf>
    <xf numFmtId="49" fontId="54"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4" fillId="0" borderId="0" xfId="0" applyFont="1" applyNumberFormat="1">
      <alignment vertical="top"/>
    </xf>
    <xf numFmtId="49" fontId="0" fillId="0" borderId="0" xfId="0" applyFont="1" applyNumberFormat="1">
      <alignment vertical="top"/>
    </xf>
    <xf numFmtId="0" fontId="65" fillId="0" borderId="0" xfId="0" applyFont="1" applyNumberFormat="1">
      <alignment vertical="center" wrapText="1"/>
    </xf>
    <xf numFmtId="0" fontId="96" fillId="0" borderId="0" xfId="0" applyFont="1" applyNumberFormat="1">
      <alignment horizontal="lef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3" fillId="0" borderId="0" xfId="0" applyFont="1" applyNumberFormat="1">
      <alignment vertical="center" wrapText="1"/>
    </xf>
    <xf numFmtId="0" fontId="42" fillId="37" borderId="0" xfId="0" applyFont="1" applyFill="1" applyNumberFormat="1">
      <alignmen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36" fillId="37" borderId="0" xfId="0" applyFont="1" applyFill="1" applyNumberFormat="1">
      <alignment vertical="center" wrapText="1"/>
    </xf>
    <xf numFmtId="0" fontId="101"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23" fillId="37" borderId="28" xfId="0" applyFont="1" applyFill="1" applyBorder="1" applyNumberFormat="1">
      <alignment horizontal="right" vertical="center" wrapText="1" indent="1"/>
    </xf>
    <xf numFmtId="0" fontId="0" fillId="38" borderId="14" xfId="0" applyFont="1" applyFill="1" applyBorder="1" applyNumberFormat="1">
      <alignment horizontal="left" vertical="center" wrapText="1" indent="1"/>
    </xf>
    <xf numFmtId="14" fontId="96" fillId="37" borderId="0" xfId="0" applyFont="1" applyFill="1" applyNumberFormat="1">
      <alignment horizontal="left"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3" fillId="0" borderId="0" xfId="0" applyFont="1" applyNumberFormat="1">
      <alignment horizontal="center" vertical="center" wrapText="1"/>
    </xf>
    <xf numFmtId="0" fontId="41" fillId="0" borderId="0" xfId="0" applyFont="1" applyNumberFormat="1">
      <alignment vertical="center" wrapText="1"/>
    </xf>
    <xf numFmtId="0" fontId="42" fillId="37" borderId="0" xfId="0" applyFont="1" applyFill="1" applyNumberFormat="1">
      <alignment vertical="center" wrapText="1"/>
    </xf>
    <xf numFmtId="0" fontId="23" fillId="37" borderId="28" xfId="0" applyFont="1" applyFill="1" applyBorder="1" applyNumberFormat="1">
      <alignment horizontal="right" vertical="center" wrapText="1" indent="1"/>
    </xf>
    <xf numFmtId="0" fontId="23" fillId="42" borderId="14"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4"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14" fontId="98" fillId="0" borderId="14" xfId="0" applyFont="1" applyBorder="1" applyNumberFormat="1">
      <alignment horizontal="center" vertical="center" wrapText="1"/>
    </xf>
    <xf numFmtId="167" fontId="0" fillId="42" borderId="14"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8" fillId="0" borderId="14" xfId="0" applyFont="1" applyBorder="1" applyNumberFormat="1">
      <alignment horizontal="left" vertical="center" wrapText="1"/>
    </xf>
    <xf numFmtId="49" fontId="23" fillId="37" borderId="28" xfId="0" applyFont="1" applyFill="1" applyBorder="1" applyNumberFormat="1">
      <alignment horizontal="right" vertical="center" wrapText="1" indent="1"/>
    </xf>
    <xf numFmtId="49" fontId="54" fillId="0" borderId="0" xfId="0" applyFont="1" applyNumberFormat="1">
      <alignment vertical="center" wrapText="1"/>
    </xf>
    <xf numFmtId="0" fontId="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167" fontId="0" fillId="0" borderId="14"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1"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4" xfId="0" applyFont="1" applyBorder="1" applyNumberFormat="1">
      <alignment horizontal="left" vertical="center" wrapText="1" indent="1"/>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49" fontId="23" fillId="38" borderId="14"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8"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2" borderId="14" xfId="0" applyFont="1" applyFill="1" applyBorder="1" applyNumberFormat="1">
      <alignment horizontal="left" vertical="center" wrapText="1" indent="1"/>
      <protection locked="0"/>
    </xf>
    <xf numFmtId="0" fontId="66" fillId="37" borderId="0" xfId="0" applyFont="1" applyFill="1" applyNumberFormat="1">
      <alignment horizontal="right" vertical="center" wrapText="1" indent="1"/>
    </xf>
    <xf numFmtId="0" fontId="66" fillId="37" borderId="0" xfId="0" applyFont="1" applyFill="1" applyNumberFormat="1">
      <alignment horizontal="left" vertical="center" wrapText="1" indent="1"/>
    </xf>
    <xf numFmtId="49" fontId="23" fillId="43" borderId="14" xfId="0" applyFont="1" applyFill="1" applyBorder="1" applyNumberFormat="1">
      <alignment horizontal="left" vertical="center" wrapText="1" inden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40" fillId="0" borderId="0" xfId="0" applyFont="1" applyNumberFormat="1">
      <alignment horizontal="left" vertical="center" wrapText="1"/>
    </xf>
    <xf numFmtId="49" fontId="32" fillId="0" borderId="14" xfId="0" applyFont="1" applyBorder="1" applyNumberFormat="1">
      <alignment horizontal="left" vertical="center" wrapText="1" indent="1"/>
    </xf>
    <xf numFmtId="0" fontId="40" fillId="0" borderId="0" xfId="0" applyFont="1" applyNumberFormat="1">
      <alignment horizontal="left" vertical="center" wrapText="1"/>
    </xf>
    <xf numFmtId="0" fontId="23" fillId="0" borderId="0" xfId="0" applyFont="1" applyNumberFormat="1">
      <alignment vertical="center" wrapText="1"/>
    </xf>
    <xf numFmtId="14" fontId="97" fillId="0" borderId="0" xfId="0" applyFont="1" applyNumberFormat="1">
      <alignment horizontal="center" vertical="center" wrapText="1"/>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88" fillId="0" borderId="0" xfId="0" applyFont="1" applyNumberFormat="1">
      <alignment vertical="center" wrapText="1"/>
    </xf>
    <xf numFmtId="0" fontId="23" fillId="43" borderId="14" xfId="0" applyFont="1" applyFill="1" applyBorder="1" applyNumberFormat="1">
      <alignment horizontal="left" vertical="center" wrapText="1" indent="1"/>
    </xf>
    <xf numFmtId="167" fontId="0" fillId="0" borderId="13" xfId="0" applyFont="1" applyBorder="1" applyNumberFormat="1">
      <alignment horizontal="left" vertical="center" wrapText="1" indent="1"/>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xf>
    <xf numFmtId="0" fontId="96" fillId="0" borderId="0" xfId="0" applyFont="1" applyNumberFormat="1">
      <alignment horizontal="left" vertical="center" wrapText="1"/>
    </xf>
    <xf numFmtId="49" fontId="40" fillId="0" borderId="0" xfId="0" applyFont="1" applyNumberFormat="1">
      <alignment horizontal="left" vertical="center" wrapText="1"/>
    </xf>
    <xf numFmtId="49" fontId="42"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2" borderId="14"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41"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77"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center" vertical="center" wrapText="1"/>
    </xf>
    <xf numFmtId="0" fontId="55" fillId="0" borderId="0" xfId="0" applyFont="1" applyNumberFormat="1">
      <alignment horizontal="left" vertical="center" wrapText="1" indent="1"/>
    </xf>
    <xf numFmtId="0" fontId="55" fillId="0" borderId="0" xfId="0" applyFont="1" applyNumberFormat="1">
      <alignment horizontal="left" vertical="center" indent="1"/>
    </xf>
    <xf numFmtId="0" fontId="61" fillId="0" borderId="0" xfId="0" applyFont="1" applyNumberFormat="1">
      <alignment vertical="center" wrapText="1"/>
    </xf>
    <xf numFmtId="0" fontId="23"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50"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17"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4" xfId="0" applyFont="1" applyBorder="1" applyNumberFormat="1">
      <alignment horizontal="center" vertical="center" wrapText="1"/>
    </xf>
    <xf numFmtId="0" fontId="44" fillId="0" borderId="0" xfId="0" applyFont="1" applyNumberFormat="1">
      <alignment horizontal="center" vertical="center" wrapText="1"/>
    </xf>
    <xf numFmtId="49" fontId="44" fillId="0" borderId="17" xfId="0" applyFont="1" applyBorder="1" applyNumberFormat="1">
      <alignment horizontal="center" vertical="center" wrapText="1"/>
    </xf>
    <xf numFmtId="49" fontId="44" fillId="0" borderId="17" xfId="0" applyFont="1" applyBorder="1" applyNumberFormat="1">
      <alignment horizontal="center"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49" fontId="23" fillId="40" borderId="21" xfId="0" applyFont="1" applyFill="1" applyBorder="1" applyNumberFormat="1">
      <alignment horizontal="center" vertical="center" wrapText="1"/>
    </xf>
    <xf numFmtId="49" fontId="54" fillId="40" borderId="21" xfId="0" applyFont="1" applyFill="1" applyBorder="1" applyNumberFormat="1">
      <alignment horizontal="left" vertical="center" wrapText="1"/>
    </xf>
    <xf numFmtId="49" fontId="54" fillId="40" borderId="22" xfId="0" applyFont="1" applyFill="1" applyBorder="1" applyNumberFormat="1">
      <alignment horizontal="left" vertical="center" wrapText="1"/>
    </xf>
    <xf numFmtId="0" fontId="55" fillId="0" borderId="24" xfId="0" applyFont="1" applyBorder="1" applyNumberFormat="1">
      <alignment vertical="center"/>
    </xf>
    <xf numFmtId="0" fontId="50" fillId="0" borderId="0" xfId="0" applyFont="1" applyNumberFormat="1">
      <alignment vertical="center" wrapText="1"/>
    </xf>
    <xf numFmtId="0" fontId="23" fillId="0" borderId="0" xfId="0" applyFont="1" applyNumberFormat="1">
      <alignment horizontal="center"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9" fontId="54" fillId="0" borderId="14" xfId="0" applyFont="1" applyBorder="1" applyNumberFormat="1">
      <alignment horizontal="left" vertical="center" wrapText="1"/>
    </xf>
    <xf numFmtId="0" fontId="55" fillId="0" borderId="0" xfId="0" applyFont="1" applyNumberFormat="1">
      <alignment vertical="center"/>
    </xf>
    <xf numFmtId="0" fontId="55" fillId="0" borderId="0" xfId="0" applyFont="1" applyNumberFormat="1">
      <alignment vertical="center"/>
    </xf>
    <xf numFmtId="49" fontId="0" fillId="0" borderId="0" xfId="0" applyFont="1" applyNumberFormat="1">
      <alignment vertical="top"/>
    </xf>
    <xf numFmtId="0" fontId="44" fillId="0" borderId="26" xfId="0" applyFont="1" applyBorder="1" applyNumberFormat="1">
      <alignment vertical="top" wrapText="1"/>
    </xf>
    <xf numFmtId="0" fontId="23" fillId="0" borderId="25" xfId="0" applyFont="1" applyBorder="1" applyNumberFormat="1">
      <alignment horizontal="center" vertical="center" wrapText="1"/>
    </xf>
    <xf numFmtId="0" fontId="55" fillId="0" borderId="25" xfId="0" applyFont="1" applyBorder="1" applyNumberFormat="1">
      <alignment horizontal="center" vertical="center" wrapText="1"/>
    </xf>
    <xf numFmtId="14" fontId="23" fillId="43" borderId="25" xfId="0" applyFont="1" applyFill="1" applyBorder="1" applyNumberFormat="1">
      <alignment horizontal="left" vertical="center" wrapText="1" indent="1"/>
    </xf>
    <xf numFmtId="49" fontId="23" fillId="38" borderId="25" xfId="0" applyFont="1" applyFill="1" applyBorder="1" applyNumberFormat="1">
      <alignment horizontal="center" vertical="center" wrapText="1"/>
    </xf>
    <xf numFmtId="0" fontId="79" fillId="0" borderId="0" xfId="0" applyFont="1" applyNumberFormat="1">
      <alignment vertical="center" wrapText="1"/>
    </xf>
    <xf numFmtId="49" fontId="54" fillId="0" borderId="0" xfId="0" applyFont="1" applyNumberFormat="1">
      <alignment vertical="top"/>
    </xf>
    <xf numFmtId="49" fontId="55" fillId="0" borderId="0" xfId="0" applyFont="1" applyNumberFormat="1">
      <alignment vertical="top"/>
    </xf>
    <xf numFmtId="0" fontId="0" fillId="0" borderId="0" xfId="0" applyFont="1" applyNumberFormat="1">
      <alignment vertical="center" wrapText="1"/>
    </xf>
    <xf numFmtId="0" fontId="44" fillId="0" borderId="0" xfId="0" applyFont="1" applyNumberFormat="1">
      <alignment vertical="top" wrapText="1"/>
    </xf>
    <xf numFmtId="49" fontId="36" fillId="40" borderId="16" xfId="0" applyFont="1" applyFill="1" applyBorder="1" applyNumberFormat="1">
      <alignment horizontal="right" vertical="center" wrapText="1"/>
    </xf>
    <xf numFmtId="49" fontId="36" fillId="40" borderId="17"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0" fillId="40" borderId="17" xfId="0" applyFont="1" applyFill="1" applyBorder="1" applyNumberFormat="1">
      <alignment horizontal="right" vertical="center" wrapText="1"/>
    </xf>
    <xf numFmtId="49" fontId="0"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48" fillId="40" borderId="17" xfId="0" applyFont="1" applyFill="1" applyBorder="1" applyNumberFormat="1">
      <alignment horizontal="left" vertical="center"/>
    </xf>
    <xf numFmtId="49" fontId="23" fillId="40" borderId="15" xfId="0" applyFont="1" applyFill="1" applyBorder="1" applyNumberFormat="1">
      <alignment horizontal="right" vertical="center" wrapText="1"/>
    </xf>
    <xf numFmtId="0" fontId="45" fillId="0" borderId="0" xfId="0" applyFont="1" applyNumberFormat="1">
      <alignment horizontal="center" vertical="center" wrapText="1"/>
    </xf>
    <xf numFmtId="0" fontId="23" fillId="0" borderId="23" xfId="0" applyFont="1" applyBorder="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99" fillId="0" borderId="0" xfId="0" applyFont="1" applyNumberFormat="1">
      <alignment vertical="center" wrapText="1"/>
    </xf>
    <xf numFmtId="0" fontId="57" fillId="0" borderId="0" xfId="0" applyFont="1" applyNumberFormat="1">
      <alignment horizontal="center" vertical="center" wrapText="1"/>
    </xf>
    <xf numFmtId="0" fontId="23" fillId="0" borderId="0" xfId="0" applyFont="1" applyNumberFormat="1">
      <alignment vertical="center"/>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54" fillId="0" borderId="0" xfId="0" applyFont="1" applyNumberFormat="1">
      <alignment vertical="center"/>
    </xf>
    <xf numFmtId="0" fontId="49" fillId="0" borderId="0" xfId="0" applyFont="1" applyNumberFormat="1">
      <alignment vertical="center"/>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49"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23" fillId="44" borderId="0" xfId="0" applyFont="1" applyFill="1" applyNumberFormat="1">
      <alignment horizontal="center" vertical="center" wrapText="1"/>
    </xf>
    <xf numFmtId="0" fontId="23" fillId="0" borderId="0" xfId="0" applyFont="1" applyNumberFormat="1">
      <alignment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80" fillId="0" borderId="14" xfId="0" applyFont="1" applyBorder="1" applyNumberFormat="1">
      <alignment horizontal="center" vertical="center" wrapText="1"/>
    </xf>
    <xf numFmtId="0" fontId="23" fillId="0" borderId="0" xfId="0" applyFont="1" applyNumberFormat="1">
      <alignment horizontal="center" vertical="center" wrapText="1"/>
    </xf>
    <xf numFmtId="0" fontId="87"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54" fillId="0" borderId="24" xfId="0" applyFont="1" applyBorder="1" applyNumberFormat="1">
      <alignment vertical="center"/>
    </xf>
    <xf numFmtId="0" fontId="0" fillId="0" borderId="0" xfId="0" applyFont="1" applyNumberFormat="1">
      <alignment vertical="center"/>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54" fillId="0" borderId="24" xfId="0" applyFont="1" applyBorder="1" applyNumberFormat="1">
      <alignment vertical="center"/>
    </xf>
    <xf numFmtId="0" fontId="55"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43" xfId="0" applyFont="1" applyFill="1" applyBorder="1" applyNumberFormat="1">
      <alignment horizontal="center" vertical="center" wrapText="1"/>
    </xf>
    <xf numFmtId="49" fontId="0" fillId="40" borderId="17" xfId="0" applyFont="1" applyFill="1" applyBorder="1" applyNumberFormat="1">
      <alignment horizontal="left" vertical="center"/>
    </xf>
    <xf numFmtId="0" fontId="0" fillId="40" borderId="15"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24" xfId="0" applyFont="1" applyBorder="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1"/>
      <protection locked="0"/>
    </xf>
    <xf numFmtId="49" fontId="48" fillId="40" borderId="15" xfId="0" applyFont="1" applyFill="1" applyBorder="1" applyNumberFormat="1">
      <alignment horizontal="left" vertical="center" indent="1"/>
    </xf>
    <xf numFmtId="0" fontId="23" fillId="43" borderId="25" xfId="0" applyFont="1" applyFill="1" applyBorder="1" applyNumberFormat="1">
      <alignment horizontal="left" vertical="center" wrapText="1" indent="2"/>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8" fillId="40" borderId="17" xfId="0" applyFont="1" applyFill="1" applyBorder="1" applyNumberFormat="1">
      <alignment horizontal="left" vertical="center" indent="2"/>
    </xf>
    <xf numFmtId="0" fontId="0"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49" fillId="0" borderId="0" xfId="0" applyFont="1" applyNumberFormat="1">
      <alignment vertical="center"/>
    </xf>
    <xf numFmtId="0" fontId="56" fillId="0" borderId="0" xfId="0" applyFont="1" applyNumberFormat="1">
      <alignment vertical="center"/>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69"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3" fillId="0" borderId="0" xfId="0" applyFont="1" applyNumberFormat="1">
      <alignment vertical="center"/>
    </xf>
    <xf numFmtId="0" fontId="23" fillId="0" borderId="29" xfId="0" applyFont="1" applyBorder="1" applyNumberFormat="1">
      <alignment horizontal="left" vertical="center" indent="1"/>
    </xf>
    <xf numFmtId="0" fontId="72" fillId="0" borderId="0" xfId="0" applyFont="1" applyNumberFormat="1">
      <alignment vertical="center"/>
    </xf>
    <xf numFmtId="0" fontId="55" fillId="0" borderId="0" xfId="0" applyFont="1" applyNumberFormat="1">
      <alignment vertical="center"/>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72"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9" fillId="0" borderId="0" xfId="0" applyFont="1" applyNumberFormat="1">
      <alignment vertical="center"/>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xf>
    <xf numFmtId="0" fontId="55" fillId="0" borderId="0" xfId="0" applyFont="1" applyNumberFormat="1">
      <alignment vertical="center"/>
    </xf>
    <xf numFmtId="49" fontId="55" fillId="37" borderId="0" xfId="0" applyFont="1" applyFill="1" applyNumberFormat="1">
      <alignment horizontal="center" vertical="center" wrapText="1"/>
    </xf>
    <xf numFmtId="49" fontId="55" fillId="37" borderId="29" xfId="0" applyFont="1" applyFill="1" applyBorder="1" applyNumberFormat="1">
      <alignment horizontal="center" vertical="center" wrapText="1"/>
    </xf>
    <xf numFmtId="0" fontId="45" fillId="0" borderId="0" xfId="0" applyFont="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4" xfId="0" applyFont="1" applyBorder="1" applyNumberFormat="1">
      <alignment horizontal="center" vertical="top"/>
    </xf>
    <xf numFmtId="0" fontId="23" fillId="0" borderId="14" xfId="0" applyFont="1" applyBorder="1" applyNumberFormat="1">
      <alignment horizontal="left" vertical="top" wrapText="1"/>
    </xf>
    <xf numFmtId="0" fontId="23" fillId="43" borderId="19"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22"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3" borderId="38" xfId="0" applyFont="1" applyFill="1" applyBorder="1" applyNumberFormat="1">
      <alignment horizontal="center" vertical="top" wrapText="1"/>
    </xf>
    <xf numFmtId="0" fontId="0" fillId="0" borderId="24"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horizontal="left" vertical="top"/>
    </xf>
    <xf numFmtId="0" fontId="23" fillId="43" borderId="25" xfId="0" applyFont="1" applyFill="1" applyBorder="1" applyNumberFormat="1">
      <alignment horizontal="center" vertical="top" wrapText="1"/>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9" xfId="0" applyFont="1" applyBorder="1" applyNumberFormat="1">
      <alignment horizontal="center" vertical="top"/>
    </xf>
    <xf numFmtId="0" fontId="23" fillId="0" borderId="19" xfId="0" applyFont="1" applyBorder="1" applyNumberFormat="1">
      <alignment horizontal="left" vertical="top" wrapText="1"/>
    </xf>
    <xf numFmtId="0" fontId="0" fillId="0" borderId="38" xfId="0" applyFont="1" applyBorder="1" applyNumberFormat="1">
      <alignment horizontal="center" vertical="top"/>
    </xf>
    <xf numFmtId="0" fontId="23" fillId="0" borderId="38" xfId="0" applyFont="1" applyBorder="1" applyNumberFormat="1">
      <alignment horizontal="left" vertical="top" wrapText="1"/>
    </xf>
    <xf numFmtId="0" fontId="0" fillId="0" borderId="25" xfId="0" applyFont="1" applyBorder="1" applyNumberFormat="1">
      <alignment horizontal="center" vertical="top"/>
    </xf>
    <xf numFmtId="0" fontId="23" fillId="0" borderId="25" xfId="0" applyFont="1" applyBorder="1" applyNumberFormat="1">
      <alignment horizontal="left" vertical="top"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55"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55" fillId="0" borderId="0" xfId="0" applyFont="1" applyNumberFormat="1">
      <alignment horizontal="center" vertical="center"/>
    </xf>
    <xf numFmtId="49" fontId="54" fillId="0" borderId="0" xfId="0" applyFont="1" applyNumberFormat="1">
      <alignment horizontal="center" vertical="center"/>
    </xf>
    <xf numFmtId="49" fontId="72"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2" fillId="0" borderId="0" xfId="0" applyFont="1" applyNumberFormat="1">
      <alignment horizontal="left" vertical="center" wrapText="1" indent="1"/>
    </xf>
    <xf numFmtId="0" fontId="50" fillId="0" borderId="0" xfId="0" applyFont="1" applyNumberFormat="1">
      <alignment vertical="center"/>
    </xf>
    <xf numFmtId="0" fontId="118" fillId="0" borderId="0" xfId="0" applyFont="1" applyNumberFormat="1">
      <alignment vertical="center" wrapText="1"/>
    </xf>
    <xf numFmtId="0" fontId="119" fillId="0" borderId="0" xfId="0" applyFont="1" applyNumberFormat="1">
      <alignment vertical="center" wrapText="1"/>
    </xf>
    <xf numFmtId="0" fontId="5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49" fontId="23" fillId="0" borderId="0" xfId="0" applyFont="1" applyNumberFormat="1">
      <alignment vertical="top"/>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xf>
    <xf numFmtId="49" fontId="23" fillId="43" borderId="19" xfId="0" applyFont="1" applyFill="1" applyBorder="1" applyNumberFormat="1">
      <alignment horizontal="center" vertical="center" wrapText="1"/>
    </xf>
    <xf numFmtId="49" fontId="23" fillId="0" borderId="39" xfId="0" applyFont="1" applyBorder="1" applyNumberFormat="1">
      <alignment vertical="center" wrapText="1"/>
    </xf>
    <xf numFmtId="0" fontId="23"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21" xfId="0" applyFont="1" applyBorder="1" applyNumberFormat="1">
      <alignment vertical="center" wrapText="1"/>
    </xf>
    <xf numFmtId="49" fontId="23" fillId="43" borderId="38" xfId="0" applyFont="1" applyFill="1" applyBorder="1" applyNumberFormat="1">
      <alignment horizontal="center" vertical="center" wrapText="1"/>
    </xf>
    <xf numFmtId="49" fontId="23" fillId="0" borderId="24"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49" fontId="45" fillId="0" borderId="0" xfId="0" applyFont="1" applyNumberFormat="1">
      <alignment horizontal="center" vertical="center" wrapText="1"/>
    </xf>
    <xf numFmtId="0" fontId="48" fillId="0" borderId="0" xfId="0" applyFont="1" applyNumberFormat="1">
      <alignment vertical="center"/>
    </xf>
    <xf numFmtId="0" fontId="48" fillId="0" borderId="24" xfId="0" applyFont="1" applyBorder="1" applyNumberFormat="1">
      <alignment horizontal="left" vertical="center"/>
    </xf>
    <xf numFmtId="49" fontId="23" fillId="0" borderId="19" xfId="0" applyFont="1" applyBorder="1" applyNumberFormat="1">
      <alignment horizontal="center" vertical="center"/>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72" fillId="0" borderId="32" xfId="0" applyFont="1" applyBorder="1" applyNumberFormat="1">
      <alignment vertical="top"/>
    </xf>
    <xf numFmtId="49" fontId="72" fillId="0" borderId="29" xfId="0" applyFont="1" applyBorder="1" applyNumberFormat="1">
      <alignment vertical="top"/>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6" xfId="0" applyFont="1" applyBorder="1" applyNumberFormat="1">
      <alignment horizontal="left" vertical="center" wrapText="1"/>
    </xf>
    <xf numFmtId="0" fontId="23" fillId="37" borderId="0" xfId="0" applyFont="1" applyFill="1" applyNumberFormat="1"/>
    <xf numFmtId="0" fontId="66" fillId="37" borderId="0" xfId="0" applyFont="1" applyFill="1" applyNumberFormat="1"/>
    <xf numFmtId="0" fontId="55" fillId="37" borderId="0" xfId="0" applyFont="1" applyFill="1" applyNumberFormat="1"/>
    <xf numFmtId="0" fontId="66" fillId="37" borderId="0" xfId="0" applyFont="1" applyFill="1" applyNumberFormat="1">
      <alignment horizontal="center"/>
    </xf>
    <xf numFmtId="0" fontId="95" fillId="0" borderId="0" xfId="0" applyFont="1" applyNumberFormat="1">
      <alignment vertical="center"/>
    </xf>
    <xf numFmtId="0" fontId="94" fillId="0" borderId="0" xfId="0" applyFont="1" applyNumberFormat="1">
      <alignment vertical="center"/>
    </xf>
    <xf numFmtId="0" fontId="78" fillId="37" borderId="0" xfId="0" applyFont="1" applyFill="1" applyNumberFormat="1">
      <alignment horizontal="right" vertical="center"/>
    </xf>
    <xf numFmtId="0" fontId="23" fillId="37" borderId="0" xfId="0" applyFont="1" applyFill="1" applyNumberFormat="1">
      <alignment vertical="center" wrapText="1"/>
    </xf>
    <xf numFmtId="0" fontId="55" fillId="37" borderId="0" xfId="0" applyFont="1" applyFill="1" applyNumberFormat="1">
      <alignment vertical="center" wrapText="1"/>
    </xf>
    <xf numFmtId="0" fontId="23" fillId="37" borderId="0" xfId="0" applyFont="1" applyFill="1" applyNumberFormat="1">
      <alignment horizontal="center" vertical="center" wrapText="1"/>
    </xf>
    <xf numFmtId="0" fontId="98" fillId="37" borderId="0" xfId="0" applyFont="1" applyFill="1" applyNumberFormat="1">
      <alignment horizontal="left" vertical="center"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44" fillId="37" borderId="0" xfId="0" applyFont="1" applyFill="1" applyNumberFormat="1">
      <alignment horizontal="center" vertical="center"/>
    </xf>
    <xf numFmtId="49" fontId="55" fillId="0" borderId="14" xfId="0" applyFont="1" applyBorder="1" applyNumberFormat="1">
      <alignment horizontal="center" vertical="center"/>
    </xf>
    <xf numFmtId="0" fontId="55" fillId="0" borderId="14" xfId="0" applyFont="1" applyBorder="1" applyNumberFormat="1">
      <alignment vertical="center" wrapText="1"/>
    </xf>
    <xf numFmtId="0" fontId="55" fillId="0" borderId="14" xfId="0" applyFont="1" applyBorder="1" applyNumberFormat="1">
      <alignment horizontal="left" vertical="center" wrapText="1"/>
    </xf>
    <xf numFmtId="0" fontId="70" fillId="37" borderId="0" xfId="0" applyFont="1" applyFill="1" applyNumberFormat="1"/>
    <xf numFmtId="49" fontId="0" fillId="37" borderId="14" xfId="0" applyFont="1" applyFill="1" applyBorder="1" applyNumberFormat="1">
      <alignment horizontal="center" vertical="center"/>
    </xf>
    <xf numFmtId="0" fontId="0" fillId="37" borderId="14" xfId="0" applyFont="1" applyFill="1" applyBorder="1" applyNumberFormat="1">
      <alignment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vertical="center" wrapText="1"/>
    </xf>
    <xf numFmtId="0" fontId="0" fillId="37" borderId="14" xfId="0" applyFont="1" applyFill="1" applyBorder="1" applyNumberFormat="1">
      <alignment horizontal="left" vertical="center" wrapText="1" indent="1"/>
    </xf>
    <xf numFmtId="49" fontId="0" fillId="42" borderId="14" xfId="0" applyFont="1" applyFill="1" applyBorder="1" applyNumberFormat="1">
      <alignment horizontal="left" vertical="center" wrapText="1"/>
      <protection locked="0"/>
    </xf>
    <xf numFmtId="0" fontId="55" fillId="0" borderId="14"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95" fillId="0" borderId="0" xfId="0" applyFont="1" applyNumberFormat="1">
      <alignment vertical="center" wrapText="1"/>
    </xf>
    <xf numFmtId="0" fontId="0" fillId="37" borderId="14" xfId="0" applyFont="1" applyFill="1" applyBorder="1" applyNumberFormat="1">
      <alignment horizontal="center" vertical="center"/>
    </xf>
    <xf numFmtId="0" fontId="0" fillId="37" borderId="14" xfId="0" applyFont="1" applyFill="1" applyBorder="1" applyNumberFormat="1">
      <alignment horizontal="left" vertical="center" wrapText="1" indent="2"/>
    </xf>
    <xf numFmtId="49" fontId="0" fillId="0" borderId="14" xfId="0" applyFont="1" applyBorder="1" applyNumberFormat="1">
      <alignment horizontal="left" vertical="center" wrapText="1"/>
    </xf>
    <xf numFmtId="49" fontId="23" fillId="37" borderId="0" xfId="0" applyFont="1" applyFill="1" applyNumberFormat="1">
      <alignment vertical="center" wrapText="1"/>
    </xf>
    <xf numFmtId="0" fontId="23" fillId="37" borderId="26" xfId="0" applyFont="1" applyFill="1" applyBorder="1" applyNumberFormat="1">
      <alignment vertical="center" wrapText="1"/>
    </xf>
    <xf numFmtId="0" fontId="23" fillId="40" borderId="16" xfId="0" applyFont="1" applyFill="1" applyBorder="1" applyNumberFormat="1">
      <alignment horizontal="center"/>
    </xf>
    <xf numFmtId="49" fontId="48" fillId="40" borderId="17" xfId="0" applyFont="1" applyFill="1" applyBorder="1" applyNumberFormat="1">
      <alignment horizontal="left" vertical="center" indent="1"/>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49" fontId="55" fillId="37" borderId="14" xfId="0" applyFont="1" applyFill="1" applyBorder="1" applyNumberFormat="1">
      <alignment horizontal="center" vertical="center"/>
    </xf>
    <xf numFmtId="0" fontId="55" fillId="37" borderId="14" xfId="0" applyFont="1" applyFill="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0" fontId="0" fillId="37" borderId="14" xfId="0" applyFont="1" applyFill="1" applyBorder="1" applyNumberFormat="1">
      <alignment horizontal="left" vertical="center" wrapText="1"/>
    </xf>
    <xf numFmtId="49" fontId="0" fillId="39" borderId="14" xfId="0" applyFont="1" applyFill="1" applyBorder="1" applyNumberFormat="1">
      <alignment horizontal="left" vertical="center" wrapText="1"/>
      <protection locked="0"/>
    </xf>
    <xf numFmtId="0" fontId="0" fillId="37" borderId="19" xfId="0" applyFont="1" applyFill="1" applyBorder="1" applyNumberFormat="1">
      <alignment horizontal="left" vertical="center" wrapText="1"/>
    </xf>
    <xf numFmtId="0" fontId="23" fillId="37" borderId="19" xfId="0" applyFont="1" applyFill="1" applyBorder="1" applyNumberFormat="1">
      <alignment horizontal="left" vertical="top" wrapText="1"/>
    </xf>
    <xf numFmtId="49" fontId="0" fillId="0" borderId="14" xfId="0" applyFont="1" applyBorder="1" applyNumberFormat="1">
      <alignment horizontal="left" vertical="center" wrapText="1" indent="1"/>
    </xf>
    <xf numFmtId="0" fontId="23" fillId="37" borderId="38" xfId="0" applyFont="1" applyFill="1" applyBorder="1" applyNumberFormat="1">
      <alignment horizontal="left" vertical="top" wrapText="1"/>
    </xf>
    <xf numFmtId="0" fontId="45" fillId="37" borderId="0" xfId="0" applyFont="1" applyFill="1" applyNumberFormat="1">
      <alignment horizontal="center" vertical="center"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37" borderId="25" xfId="0" applyFont="1" applyFill="1" applyBorder="1" applyNumberFormat="1">
      <alignment horizontal="left" vertical="top" wrapText="1"/>
    </xf>
    <xf numFmtId="0" fontId="58" fillId="37" borderId="0" xfId="0" applyFont="1" applyFill="1" applyNumberFormat="1"/>
    <xf numFmtId="49" fontId="23" fillId="42" borderId="14" xfId="0" applyFont="1" applyFill="1" applyBorder="1" applyNumberFormat="1" quotePrefix="1">
      <alignment horizontal="left" vertical="center" wrapText="1"/>
      <protection locked="0"/>
    </xf>
    <xf numFmtId="49" fontId="23" fillId="39"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0" fillId="37" borderId="16" xfId="0" applyFont="1" applyFill="1" applyBorder="1" applyNumberFormat="1">
      <alignment horizontal="left" vertical="center" wrapText="1" indent="1"/>
    </xf>
    <xf numFmtId="49" fontId="23" fillId="43" borderId="16" xfId="0" applyFont="1" applyFill="1" applyBorder="1" applyNumberFormat="1">
      <alignment horizontal="left" vertical="center" wrapText="1"/>
    </xf>
    <xf numFmtId="0" fontId="0" fillId="37" borderId="14" xfId="0" applyFont="1" applyFill="1" applyBorder="1" applyNumberFormat="1">
      <alignment vertical="top" wrapText="1"/>
    </xf>
    <xf numFmtId="49" fontId="23" fillId="37" borderId="0" xfId="0" applyFont="1" applyFill="1" applyNumberFormat="1">
      <alignment horizontal="center" vertical="center" wrapText="1"/>
    </xf>
    <xf numFmtId="0" fontId="0" fillId="37" borderId="16" xfId="0" applyFont="1" applyFill="1" applyBorder="1" applyNumberFormat="1">
      <alignment horizontal="left" vertical="center" wrapText="1"/>
    </xf>
    <xf numFmtId="0" fontId="0" fillId="37" borderId="25" xfId="0" applyFont="1" applyFill="1" applyBorder="1" applyNumberFormat="1">
      <alignment vertical="center" wrapText="1"/>
    </xf>
    <xf numFmtId="0" fontId="81" fillId="37" borderId="0" xfId="0" applyFont="1" applyFill="1" applyNumberFormat="1"/>
    <xf numFmtId="0" fontId="23" fillId="0" borderId="0" xfId="0" applyFont="1" applyNumberFormat="1">
      <alignment vertical="top" wrapText="1"/>
    </xf>
    <xf numFmtId="0" fontId="55" fillId="0" borderId="0" xfId="0" applyFont="1" applyNumberFormat="1">
      <alignment vertical="center" wrapText="1"/>
    </xf>
    <xf numFmtId="0" fontId="53" fillId="0" borderId="0" xfId="0" applyFont="1" applyNumberFormat="1">
      <alignment horizontal="right" vertical="top" wrapText="1"/>
    </xf>
    <xf numFmtId="0" fontId="53" fillId="0" borderId="0" xfId="0" applyFont="1" applyNumberFormat="1">
      <alignment horizontal="left" vertical="top" wrapText="1" indent="1"/>
    </xf>
    <xf numFmtId="0" fontId="53" fillId="0" borderId="0" xfId="0" applyFont="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2" fillId="37" borderId="0" xfId="0" applyFont="1" applyFill="1" applyNumberFormat="1">
      <alignment horizontal="right" vertical="center"/>
    </xf>
    <xf numFmtId="0" fontId="83" fillId="37" borderId="0" xfId="0" applyFont="1" applyFill="1" applyNumberFormat="1">
      <alignment vertical="center"/>
    </xf>
    <xf numFmtId="0" fontId="82" fillId="37" borderId="0" xfId="0" applyFont="1" applyFill="1" applyNumberFormat="1">
      <alignment horizontal="right" vertical="top"/>
    </xf>
    <xf numFmtId="0" fontId="83" fillId="37" borderId="0" xfId="0" applyFont="1" applyFill="1" applyNumberFormat="1">
      <alignment vertical="center" wrapText="1"/>
    </xf>
    <xf numFmtId="0" fontId="0" fillId="37" borderId="0" xfId="0" applyFont="1" applyFill="1" applyNumberFormat="1"/>
    <xf numFmtId="0" fontId="0" fillId="37" borderId="0" xfId="0" applyFont="1" applyFill="1" applyNumberFormat="1">
      <alignment horizontal="center"/>
    </xf>
    <xf numFmtId="0" fontId="54" fillId="0" borderId="0" xfId="0" applyFont="1" applyNumberFormat="1">
      <alignment horizontal="center" vertical="center" wrapText="1"/>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45" fillId="37" borderId="0" xfId="0" applyFont="1" applyFill="1" applyNumberFormat="1">
      <alignment horizontal="center" vertical="center" wrapText="1"/>
    </xf>
    <xf numFmtId="0" fontId="22" fillId="0" borderId="0" xfId="0" applyFont="1" applyNumberFormat="1">
      <alignment horizontal="left" vertical="center" wrapText="1" indent="3"/>
    </xf>
    <xf numFmtId="0" fontId="69" fillId="0" borderId="0" xfId="0" applyFont="1" applyNumberFormat="1">
      <alignment horizontal="center" vertical="center" wrapText="1"/>
    </xf>
    <xf numFmtId="0" fontId="69" fillId="0" borderId="0" xfId="0" applyFont="1" applyNumberFormat="1">
      <alignment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65" fillId="0" borderId="0" xfId="0" applyFont="1" applyNumberFormat="1">
      <alignment vertical="center" wrapText="1"/>
    </xf>
    <xf numFmtId="0" fontId="63" fillId="0" borderId="0" xfId="0" applyFont="1" applyNumberFormat="1">
      <alignment vertical="center" wrapText="1"/>
    </xf>
    <xf numFmtId="0" fontId="84" fillId="37" borderId="0" xfId="0" applyFont="1" applyFill="1" applyNumberFormat="1">
      <alignment horizontal="center" vertical="center" wrapText="1"/>
    </xf>
    <xf numFmtId="0" fontId="65" fillId="0" borderId="0" xfId="0" applyFont="1" applyNumberFormat="1">
      <alignment horizontal="left" vertical="center" wrapText="1" indent="1"/>
    </xf>
    <xf numFmtId="0" fontId="23" fillId="0" borderId="0" xfId="0" applyFont="1" applyNumberFormat="1">
      <alignment horizontal="right" vertical="center"/>
    </xf>
    <xf numFmtId="0" fontId="55" fillId="0" borderId="0" xfId="0" applyFont="1" applyNumberFormat="1">
      <alignment vertical="center" wrapText="1"/>
    </xf>
    <xf numFmtId="0" fontId="0"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44" fillId="37" borderId="0" xfId="0" applyFont="1" applyFill="1" applyNumberFormat="1">
      <alignment horizontal="center" vertical="center" wrapText="1"/>
    </xf>
    <xf numFmtId="49" fontId="44" fillId="37" borderId="0" xfId="0" applyFont="1" applyFill="1" applyNumberFormat="1">
      <alignment horizontal="center" vertical="center" wrapText="1"/>
    </xf>
    <xf numFmtId="0" fontId="23" fillId="0" borderId="0" xfId="0" applyFont="1" applyNumberFormat="1">
      <alignmen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49" fontId="77" fillId="0" borderId="14" xfId="0" applyFont="1" applyBorder="1" applyNumberFormat="1">
      <alignment horizontal="left" vertical="center" wrapText="1"/>
    </xf>
    <xf numFmtId="49" fontId="0" fillId="0" borderId="14" xfId="0" applyFont="1" applyBorder="1" applyNumberFormat="1">
      <alignment vertical="top" wrapText="1"/>
    </xf>
    <xf numFmtId="49" fontId="0" fillId="0" borderId="14" xfId="0" applyFont="1" applyBorder="1" applyNumberFormat="1">
      <alignment horizontal="center" vertical="center" wrapText="1"/>
    </xf>
    <xf numFmtId="49" fontId="0" fillId="39"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 fontId="0" fillId="42"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 fontId="0" fillId="42" borderId="15" xfId="0" applyFont="1" applyFill="1" applyBorder="1" applyNumberFormat="1">
      <alignment horizontal="right" vertical="center" wrapText="1"/>
      <protection locked="0"/>
    </xf>
    <xf numFmtId="0" fontId="0" fillId="39" borderId="14" xfId="0" applyFont="1" applyFill="1" applyBorder="1" applyNumberFormat="1">
      <alignment horizontal="right" vertical="center" wrapText="1"/>
      <protection locked="0"/>
    </xf>
    <xf numFmtId="3" fontId="0" fillId="0" borderId="15" xfId="0" applyFont="1" applyBorder="1" applyNumberFormat="1">
      <alignment horizontal="right" vertical="center" wrapText="1"/>
    </xf>
    <xf numFmtId="0" fontId="0" fillId="0" borderId="19" xfId="0" applyFont="1" applyBorder="1" applyNumberFormat="1">
      <alignment horizontal="left" vertical="top" wrapText="1"/>
    </xf>
    <xf numFmtId="49" fontId="36" fillId="40" borderId="16" xfId="0" applyFont="1" applyFill="1" applyBorder="1" applyNumberFormat="1">
      <alignment horizontal="center" vertical="center"/>
    </xf>
    <xf numFmtId="0" fontId="48" fillId="40" borderId="17" xfId="0" applyFont="1" applyFill="1" applyBorder="1" applyNumberFormat="1">
      <alignment vertical="center"/>
    </xf>
    <xf numFmtId="49" fontId="48" fillId="40" borderId="17" xfId="0" applyFont="1" applyFill="1" applyBorder="1" applyNumberFormat="1">
      <alignment vertical="center"/>
    </xf>
    <xf numFmtId="49" fontId="78" fillId="40" borderId="17" xfId="0" applyFont="1" applyFill="1" applyBorder="1" applyNumberFormat="1">
      <alignment vertical="center"/>
    </xf>
    <xf numFmtId="49" fontId="78" fillId="40" borderId="15" xfId="0" applyFont="1" applyFill="1" applyBorder="1" applyNumberFormat="1">
      <alignment vertical="center"/>
    </xf>
    <xf numFmtId="0" fontId="0" fillId="0" borderId="25" xfId="0" applyFont="1" applyBorder="1" applyNumberFormat="1">
      <alignment horizontal="left" vertical="top" wrapText="1"/>
    </xf>
    <xf numFmtId="0" fontId="40"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0" fillId="0" borderId="0" xfId="0" applyFont="1" applyNumberFormat="1">
      <alignment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0" fillId="0" borderId="39" xfId="0" applyFont="1" applyBorder="1" applyNumberFormat="1">
      <alignment horizontal="center" vertical="center" wrapText="1"/>
    </xf>
    <xf numFmtId="0" fontId="23" fillId="43" borderId="21" xfId="0" applyFont="1" applyFill="1" applyBorder="1" applyNumberFormat="1">
      <alignment horizontal="lef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0" fontId="55" fillId="0" borderId="0" xfId="0" applyFont="1" applyNumberFormat="1">
      <alignment vertical="center"/>
    </xf>
    <xf numFmtId="49" fontId="0" fillId="0" borderId="32" xfId="0" applyFont="1" applyBorder="1" applyNumberFormat="1">
      <alignment horizontal="center" vertical="center" wrapText="1"/>
    </xf>
    <xf numFmtId="0" fontId="23" fillId="43" borderId="29" xfId="0" applyFont="1" applyFill="1" applyBorder="1" applyNumberFormat="1">
      <alignment horizontal="left" vertical="center" wrapText="1"/>
    </xf>
    <xf numFmtId="0" fontId="93" fillId="0" borderId="0" xfId="0" applyFont="1" applyNumberFormat="1">
      <alignment vertical="center" wrapText="1"/>
    </xf>
    <xf numFmtId="0" fontId="55" fillId="0" borderId="0" xfId="0" applyFont="1" applyNumberFormat="1">
      <alignment vertical="center" wrapText="1"/>
    </xf>
    <xf numFmtId="0" fontId="45" fillId="37" borderId="0" xfId="0" applyFont="1" applyFill="1" applyNumberFormat="1">
      <alignment horizontal="center" vertical="center" wrapText="1"/>
    </xf>
    <xf numFmtId="0" fontId="23" fillId="0" borderId="21" xfId="0" applyFont="1" applyBorder="1" applyNumberFormat="1">
      <alignment horizontal="left" vertical="top" wrapText="1" indent="1"/>
    </xf>
    <xf numFmtId="0" fontId="69"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vertical="center" wrapText="1"/>
    </xf>
    <xf numFmtId="0" fontId="23" fillId="0" borderId="25" xfId="0" applyFont="1" applyBorder="1" applyNumberFormat="1">
      <alignment horizontal="center" vertical="center" wrapText="1"/>
    </xf>
    <xf numFmtId="0" fontId="23" fillId="0" borderId="0" xfId="0" applyFont="1" applyNumberFormat="1">
      <alignmen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40"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2" fillId="0" borderId="0" xfId="0" applyFont="1" applyNumberFormat="1">
      <alignment horizontal="center" vertical="center" wrapText="1"/>
    </xf>
    <xf numFmtId="4" fontId="65" fillId="0" borderId="0" xfId="0" applyFont="1" applyNumberFormat="1">
      <alignment horizontal="right"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4" fillId="37" borderId="17" xfId="0" applyFont="1" applyFill="1" applyBorder="1" applyNumberFormat="1">
      <alignment horizontal="center" vertical="center" wrapText="1"/>
    </xf>
    <xf numFmtId="49" fontId="44" fillId="37" borderId="17" xfId="0" applyFont="1" applyFill="1" applyBorder="1" applyNumberFormat="1">
      <alignment horizontal="center" vertical="center" wrapText="1"/>
    </xf>
    <xf numFmtId="0" fontId="45"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top"/>
    </xf>
    <xf numFmtId="0" fontId="45" fillId="37" borderId="26" xfId="0" applyFont="1" applyFill="1" applyBorder="1" applyNumberFormat="1">
      <alignment vertical="top"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49" fontId="34" fillId="40" borderId="15" xfId="0" applyFont="1" applyFill="1" applyBorder="1" applyNumberFormat="1">
      <alignment horizontal="left" vertical="center" wrapText="1"/>
    </xf>
    <xf numFmtId="0" fontId="0" fillId="0" borderId="38" xfId="0" applyFont="1" applyBorder="1" applyNumberFormat="1">
      <alignment horizontal="left" vertical="top"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45" fillId="37" borderId="0" xfId="0" applyFont="1" applyFill="1" applyNumberFormat="1">
      <alignment vertical="top" wrapText="1"/>
    </xf>
    <xf numFmtId="0" fontId="55" fillId="37" borderId="25" xfId="0" applyFont="1" applyFill="1" applyBorder="1" applyNumberFormat="1">
      <alignment horizontal="center" vertical="center" wrapText="1"/>
    </xf>
    <xf numFmtId="14" fontId="23" fillId="43" borderId="25" xfId="0" applyFont="1" applyFill="1" applyBorder="1" applyNumberFormat="1">
      <alignment horizontal="left" vertical="center" wrapText="1"/>
    </xf>
    <xf numFmtId="14" fontId="23" fillId="43" borderId="14" xfId="0" applyFont="1" applyFill="1" applyBorder="1" applyNumberFormat="1">
      <alignment horizontal="center" vertical="center" wrapText="1"/>
    </xf>
    <xf numFmtId="49" fontId="34" fillId="42" borderId="14" xfId="0" applyFont="1" applyFill="1" applyBorder="1" applyNumberFormat="1">
      <alignment horizontal="left" vertical="center" wrapText="1"/>
      <protection locked="0"/>
    </xf>
    <xf numFmtId="49" fontId="36" fillId="40" borderId="17" xfId="0" applyFont="1" applyFill="1" applyBorder="1" applyNumberFormat="1">
      <alignment horizontal="center" vertical="center"/>
    </xf>
    <xf numFmtId="49" fontId="78" fillId="40" borderId="17" xfId="0" applyFont="1" applyFill="1" applyBorder="1" applyNumberFormat="1">
      <alignment horizontal="left" vertical="center" indent="1"/>
    </xf>
    <xf numFmtId="49" fontId="78" fillId="40" borderId="15" xfId="0" applyFont="1" applyFill="1" applyBorder="1" applyNumberFormat="1">
      <alignment horizontal="left" vertical="center" indent="1"/>
    </xf>
    <xf numFmtId="0" fontId="84" fillId="0" borderId="0" xfId="0" applyFont="1" applyNumberFormat="1">
      <alignment horizontal="center" vertical="center" wrapText="1"/>
    </xf>
    <xf numFmtId="0" fontId="53" fillId="0" borderId="0" xfId="0" applyFont="1" applyNumberFormat="1">
      <alignment vertical="top" wrapText="1"/>
    </xf>
    <xf numFmtId="0" fontId="23" fillId="0" borderId="0" xfId="0" applyFont="1" applyNumberFormat="1">
      <alignment horizontal="right" vertical="top" wrapText="1"/>
    </xf>
    <xf numFmtId="0" fontId="53"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horizontal="left" vertical="center" indent="1"/>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6" xfId="0" applyFont="1" applyBorder="1" applyNumberFormat="1">
      <alignment vertical="top"/>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4" xfId="0" applyFont="1" applyBorder="1" applyNumberFormat="1">
      <alignment horizontal="left" vertical="center" wrapText="1" indent="6"/>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53" fillId="0" borderId="14" xfId="0" applyFont="1" applyBorder="1" applyNumberFormat="1">
      <alignment vertical="top" wrapText="1"/>
    </xf>
    <xf numFmtId="0" fontId="54" fillId="0" borderId="16" xfId="0" applyFont="1" applyBorder="1" applyNumberFormat="1">
      <alignment horizontal="center" vertical="center"/>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indent="1"/>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54" fillId="0" borderId="14" xfId="0" applyFont="1" applyBorder="1" applyNumberFormat="1">
      <alignment horizontal="center" vertical="center" wrapText="1"/>
    </xf>
    <xf numFmtId="0" fontId="54"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54" fillId="0" borderId="16" xfId="0" applyFont="1" applyBorder="1" applyNumberFormat="1">
      <alignment horizontal="center" vertical="center" wrapText="1"/>
    </xf>
    <xf numFmtId="0" fontId="54" fillId="0" borderId="0" xfId="0" applyFont="1" applyNumberFormat="1">
      <alignment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23" fillId="43" borderId="14" xfId="0" applyFont="1" applyFill="1" applyBorder="1" applyNumberFormat="1">
      <alignment horizontal="left" vertical="center" wrapText="1" indent="6"/>
    </xf>
    <xf numFmtId="4" fontId="23" fillId="39" borderId="14" xfId="0" applyFont="1" applyFill="1" applyBorder="1" applyNumberFormat="1">
      <alignment horizontal="right" vertical="center" wrapText="1"/>
      <protection locked="0"/>
    </xf>
    <xf numFmtId="4" fontId="23" fillId="0" borderId="14" xfId="0" applyFont="1" applyBorder="1" applyNumberFormat="1">
      <alignment horizontal="right" vertical="center" wrapText="1"/>
    </xf>
    <xf numFmtId="16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0" fontId="53" fillId="0" borderId="19" xfId="0" applyFont="1" applyBorder="1" applyNumberFormat="1">
      <alignment horizontal="left" vertical="top" wrapText="1"/>
    </xf>
    <xf numFmtId="49" fontId="23" fillId="0" borderId="14" xfId="0" applyFont="1" applyBorder="1" applyNumberFormat="1">
      <alignment horizontal="left" vertical="center" wrapText="1"/>
    </xf>
    <xf numFmtId="4" fontId="55" fillId="0" borderId="14" xfId="0" applyFont="1" applyBorder="1" applyNumberFormat="1">
      <alignment horizontal="center" vertical="center" wrapText="1"/>
    </xf>
    <xf numFmtId="49" fontId="0" fillId="42" borderId="14" xfId="0" applyFont="1" applyFill="1" applyBorder="1" applyNumberFormat="1">
      <alignment horizontal="center" vertical="center" wrapText="1"/>
      <protection locked="0"/>
    </xf>
    <xf numFmtId="0" fontId="53" fillId="0" borderId="38" xfId="0" applyFont="1" applyBorder="1" applyNumberFormat="1">
      <alignment horizontal="left" vertical="top"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6"/>
    </xf>
    <xf numFmtId="49" fontId="23" fillId="40" borderId="15" xfId="0" applyFont="1" applyFill="1" applyBorder="1" applyNumberFormat="1">
      <alignment horizontal="center" vertical="center" wrapText="1"/>
    </xf>
    <xf numFmtId="0" fontId="53" fillId="0" borderId="25" xfId="0" applyFont="1" applyBorder="1" applyNumberFormat="1">
      <alignment horizontal="left" vertical="top" wrapText="1"/>
    </xf>
    <xf numFmtId="49" fontId="48" fillId="40" borderId="17" xfId="0" applyFont="1" applyFill="1" applyBorder="1" applyNumberFormat="1">
      <alignment horizontal="left" vertical="center" indent="5"/>
    </xf>
    <xf numFmtId="49" fontId="0"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49" fontId="47" fillId="0" borderId="0" xfId="0" applyFont="1" applyNumberFormat="1">
      <alignment vertical="top"/>
    </xf>
    <xf numFmtId="49" fontId="48" fillId="40" borderId="17" xfId="0" applyFont="1" applyFill="1" applyBorder="1" applyNumberFormat="1">
      <alignment horizontal="left" vertical="center" indent="4"/>
    </xf>
    <xf numFmtId="0" fontId="55"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49" fontId="23" fillId="0" borderId="0" xfId="0" applyFont="1" applyNumberFormat="1">
      <alignmen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167" fontId="54" fillId="0" borderId="14" xfId="0" applyFont="1" applyBorder="1" applyNumberFormat="1">
      <alignment horizontal="center" vertical="center" wrapText="1"/>
    </xf>
    <xf numFmtId="49" fontId="54" fillId="0" borderId="14" xfId="0" applyFont="1" applyBorder="1" applyNumberFormat="1">
      <alignment horizontal="center"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54" fillId="0" borderId="14" xfId="0" applyFont="1" applyBorder="1" applyNumberFormat="1">
      <alignment vertical="center" wrapText="1"/>
    </xf>
    <xf numFmtId="0" fontId="74" fillId="0" borderId="0" xfId="0" applyFont="1" applyNumberFormat="1">
      <alignment vertical="center" wrapText="1"/>
    </xf>
    <xf numFmtId="0" fontId="54" fillId="0" borderId="0" xfId="0" applyFont="1" applyNumberFormat="1">
      <alignment horizontal="left" vertical="center" wrapText="1"/>
    </xf>
    <xf numFmtId="0" fontId="47"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1" xfId="0" applyFont="1" applyBorder="1" applyNumberFormat="1">
      <alignment horizontal="left" vertical="top" wrapText="1" indent="1"/>
    </xf>
    <xf numFmtId="0" fontId="22" fillId="0" borderId="0" xfId="0" applyFont="1" applyNumberFormat="1">
      <alignment vertical="center" wrapTex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4" fillId="0" borderId="0" xfId="0" applyFont="1" applyNumberFormat="1">
      <alignment vertical="center"/>
    </xf>
    <xf numFmtId="0" fontId="54" fillId="0" borderId="0" xfId="0" applyFont="1" applyNumberFormat="1">
      <alignment horizontal="center" vertical="center"/>
    </xf>
    <xf numFmtId="0" fontId="0" fillId="37" borderId="14" xfId="0" applyFont="1" applyFill="1" applyBorder="1" applyNumberFormat="1">
      <alignment horizontal="right" vertical="center" wrapText="1" indent="1"/>
    </xf>
    <xf numFmtId="0" fontId="0" fillId="0" borderId="17" xfId="0" applyFont="1" applyBorder="1" applyNumberFormat="1">
      <alignment vertical="center"/>
    </xf>
    <xf numFmtId="0" fontId="23" fillId="38" borderId="14" xfId="0" applyFont="1" applyFill="1" applyBorder="1" applyNumberFormat="1">
      <alignment horizontal="left" vertical="center" wrapText="1" indent="1"/>
    </xf>
    <xf numFmtId="0" fontId="23" fillId="0" borderId="0" xfId="0" applyFont="1" applyNumberFormat="1">
      <alignment vertical="center" wrapText="1"/>
    </xf>
    <xf numFmtId="0" fontId="73" fillId="0" borderId="0" xfId="0" applyFont="1" applyNumberFormat="1">
      <alignment vertical="center"/>
    </xf>
    <xf numFmtId="0" fontId="55" fillId="0" borderId="0" xfId="0" applyFont="1" applyNumberFormat="1">
      <alignment vertical="center"/>
    </xf>
    <xf numFmtId="167" fontId="23" fillId="38" borderId="14"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wrapText="1"/>
    </xf>
    <xf numFmtId="0" fontId="23" fillId="37" borderId="29" xfId="0" applyFont="1" applyFill="1" applyBorder="1" applyNumberFormat="1">
      <alignment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19" xfId="0" applyFont="1" applyBorder="1" applyNumberFormat="1">
      <alignmen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0" fontId="23" fillId="0" borderId="38" xfId="0" applyFont="1" applyBorder="1" applyNumberFormat="1">
      <alignment vertical="center" wrapText="1"/>
    </xf>
    <xf numFmtId="0" fontId="23" fillId="0" borderId="19" xfId="0" applyFont="1" applyBorder="1" applyNumberFormat="1">
      <alignment horizontal="center" vertical="center" wrapText="1"/>
    </xf>
    <xf numFmtId="0" fontId="54"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7" xfId="0" applyFont="1" applyBorder="1" applyNumberFormat="1">
      <alignment horizontal="center" vertical="center" wrapText="1"/>
    </xf>
    <xf numFmtId="0" fontId="23" fillId="37" borderId="38" xfId="0" applyFont="1" applyFill="1" applyBorder="1" applyNumberFormat="1">
      <alignment horizontal="center" vertical="center" wrapText="1"/>
    </xf>
    <xf numFmtId="49" fontId="48" fillId="40" borderId="38" xfId="0" applyFont="1" applyFill="1" applyBorder="1" applyNumberFormat="1">
      <alignment horizontal="center" vertical="center" textRotation="90" wrapText="1"/>
    </xf>
    <xf numFmtId="0" fontId="54" fillId="0" borderId="0" xfId="0" applyFont="1" applyNumberFormat="1">
      <alignment vertical="center"/>
    </xf>
    <xf numFmtId="0" fontId="23" fillId="0" borderId="25" xfId="0" applyFont="1" applyBorder="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8" fillId="40" borderId="25" xfId="0" applyFont="1" applyFill="1" applyBorder="1" applyNumberFormat="1">
      <alignment horizontal="center" vertical="center" textRotation="90" wrapText="1"/>
    </xf>
    <xf numFmtId="49" fontId="77" fillId="0" borderId="0" xfId="0" applyFont="1" applyNumberFormat="1">
      <alignment vertical="center" wrapText="1"/>
    </xf>
    <xf numFmtId="0" fontId="111" fillId="37" borderId="0" xfId="0" applyFont="1" applyFill="1" applyNumberFormat="1">
      <alignment vertical="center" wrapText="1"/>
    </xf>
    <xf numFmtId="0" fontId="112" fillId="37" borderId="0" xfId="0" applyFont="1" applyFill="1" applyNumberFormat="1">
      <alignment vertical="center" wrapText="1"/>
    </xf>
    <xf numFmtId="49" fontId="85" fillId="37" borderId="21" xfId="0" applyFont="1" applyFill="1" applyBorder="1" applyNumberFormat="1">
      <alignment horizontal="left" vertical="center" wrapText="1"/>
    </xf>
    <xf numFmtId="49" fontId="85" fillId="37" borderId="21" xfId="0" applyFont="1" applyFill="1" applyBorder="1" applyNumberFormat="1">
      <alignment horizontal="center" vertical="center" wrapText="1"/>
    </xf>
    <xf numFmtId="0" fontId="5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167" fontId="0" fillId="42" borderId="19" xfId="0" applyFont="1" applyFill="1" applyBorder="1" applyNumberFormat="1">
      <alignment horizontal="center" vertical="center" wrapText="1"/>
      <protection locked="0"/>
    </xf>
    <xf numFmtId="4" fontId="23" fillId="0" borderId="19" xfId="0" applyFont="1" applyBorder="1" applyNumberFormat="1">
      <alignment horizontal="right" vertical="center" wrapText="1"/>
    </xf>
    <xf numFmtId="49" fontId="23" fillId="0" borderId="14" xfId="0" applyFont="1" applyBorder="1" applyNumberFormat="1">
      <alignment horizontal="left" vertical="center" wrapText="1"/>
    </xf>
    <xf numFmtId="49" fontId="0" fillId="42" borderId="25" xfId="0" applyFont="1" applyFill="1" applyBorder="1" applyNumberFormat="1">
      <alignment horizontal="center" vertical="center" wrapText="1"/>
      <protection locked="0"/>
    </xf>
    <xf numFmtId="4" fontId="23" fillId="0" borderId="25" xfId="0" applyFont="1" applyBorder="1" applyNumberFormat="1">
      <alignment horizontal="righ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49" fontId="55" fillId="0" borderId="0" xfId="0" applyFont="1" applyNumberFormat="1">
      <alignment vertical="top"/>
    </xf>
    <xf numFmtId="49" fontId="112"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47" fillId="0" borderId="0" xfId="0" applyFont="1" applyNumberFormat="1">
      <alignment vertical="center" wrapText="1"/>
    </xf>
    <xf numFmtId="0" fontId="23" fillId="0" borderId="0" xfId="0" applyFont="1" applyNumberFormat="1">
      <alignment horizontal="lef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0" borderId="14" xfId="0" applyFont="1" applyBorder="1" applyNumberFormat="1">
      <alignment horizontal="center" vertical="center"/>
    </xf>
    <xf numFmtId="0" fontId="23" fillId="0" borderId="0" xfId="0" applyFont="1" applyNumberFormat="1">
      <alignment horizontal="center" vertical="center"/>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0" fontId="23" fillId="37" borderId="14" xfId="0" applyFont="1" applyFill="1" applyBorder="1" applyNumberFormat="1">
      <alignment horizontal="left" vertical="center" wrapText="1" indent="1"/>
    </xf>
    <xf numFmtId="0" fontId="23"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49" fontId="23" fillId="0" borderId="14" xfId="0" applyFont="1" applyBorder="1" applyNumberFormat="1">
      <alignment horizontal="left" vertical="center" wrapText="1"/>
    </xf>
    <xf numFmtId="0" fontId="55" fillId="0" borderId="0" xfId="0" applyFont="1" applyNumberFormat="1">
      <alignment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77" fillId="0" borderId="0" xfId="0" applyFont="1" applyNumberFormat="1">
      <alignment horizontal="left" vertical="center" wrapText="1"/>
    </xf>
    <xf numFmtId="0" fontId="77" fillId="0" borderId="0" xfId="0" applyFont="1" applyNumberFormat="1">
      <alignment vertical="center" wrapText="1"/>
    </xf>
    <xf numFmtId="0" fontId="55" fillId="0" borderId="0" xfId="0" applyFont="1" applyNumberFormat="1">
      <alignment vertical="center"/>
    </xf>
    <xf numFmtId="49" fontId="77" fillId="0" borderId="0" xfId="0" applyFont="1" applyNumberFormat="1">
      <alignment horizontal="left" vertical="center"/>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4"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23" fillId="0" borderId="19" xfId="0" applyFont="1" applyBorder="1" applyNumberFormat="1">
      <alignment vertical="center" wrapText="1"/>
    </xf>
    <xf numFmtId="0" fontId="0" fillId="0" borderId="14" xfId="0" applyFont="1" applyBorder="1" applyNumberFormat="1">
      <alignment horizontal="center" vertical="center" wrapText="1"/>
    </xf>
    <xf numFmtId="0" fontId="77" fillId="0" borderId="0" xfId="0" applyFont="1" applyNumberFormat="1">
      <alignment vertical="center" wrapText="1"/>
    </xf>
    <xf numFmtId="0" fontId="85" fillId="37" borderId="21" xfId="0" applyFont="1" applyFill="1" applyBorder="1" applyNumberFormat="1">
      <alignment horizontal="center"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23" fillId="0" borderId="0" xfId="0" applyFont="1" applyNumberFormat="1">
      <alignment horizontal="left" vertical="center" indent="1"/>
    </xf>
    <xf numFmtId="49" fontId="23" fillId="0" borderId="0" xfId="0" applyFont="1" applyNumberFormat="1">
      <alignment horizontal="left" vertical="center"/>
    </xf>
    <xf numFmtId="164" fontId="23" fillId="0" borderId="14" xfId="0" applyFont="1" applyBorder="1" applyNumberFormat="1">
      <alignment horizontal="right" vertical="center" wrapText="1"/>
    </xf>
    <xf numFmtId="0" fontId="0" fillId="37" borderId="21" xfId="0" applyFont="1" applyFill="1" applyBorder="1" applyNumberFormat="1">
      <alignment horizontal="center" vertical="center" wrapText="1"/>
    </xf>
    <xf numFmtId="0" fontId="55"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55" fillId="0" borderId="14" xfId="0" applyFont="1" applyBorder="1" applyNumberFormat="1">
      <alignment vertical="center" wrapText="1"/>
    </xf>
    <xf numFmtId="0" fontId="23" fillId="0" borderId="0" xfId="0" applyFont="1" applyNumberFormat="1">
      <alignment vertical="center"/>
    </xf>
    <xf numFmtId="0" fontId="55" fillId="0" borderId="25" xfId="0" applyFont="1" applyBorder="1" applyNumberFormat="1">
      <alignment horizontal="center" vertical="center" wrapText="1"/>
    </xf>
    <xf numFmtId="0" fontId="23" fillId="0" borderId="32" xfId="0" applyFont="1" applyBorder="1" applyNumberFormat="1">
      <alignment horizontal="center" vertical="center" wrapText="1"/>
    </xf>
    <xf numFmtId="0" fontId="55"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0" xfId="0" applyFont="1" applyFill="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9" fontId="55" fillId="0" borderId="0" xfId="0" applyFont="1" applyNumberFormat="1">
      <alignment vertical="center" wrapText="1"/>
    </xf>
    <xf numFmtId="0" fontId="0" fillId="0" borderId="0" xfId="0" applyFont="1" applyNumberFormat="1">
      <alignment horizontal="left" vertical="top" wrapText="1"/>
    </xf>
    <xf numFmtId="0" fontId="54" fillId="0" borderId="0" xfId="0" applyFont="1" applyNumberFormat="1">
      <alignment vertical="top" wrapText="1"/>
    </xf>
    <xf numFmtId="0" fontId="23" fillId="0" borderId="21" xfId="0" applyFont="1" applyBorder="1" applyNumberFormat="1">
      <alignment horizontal="left" vertical="center" wrapText="1" indent="1"/>
    </xf>
    <xf numFmtId="0" fontId="23" fillId="0" borderId="0" xfId="0" applyFont="1" applyNumberFormat="1">
      <alignment horizontal="left" vertical="center" wrapText="1"/>
    </xf>
    <xf numFmtId="0" fontId="23" fillId="43" borderId="22" xfId="0" applyFont="1" applyFill="1" applyBorder="1" applyNumberFormat="1">
      <alignment horizontal="left" vertical="center" wrapText="1"/>
    </xf>
    <xf numFmtId="0" fontId="23" fillId="0" borderId="0" xfId="0" applyFont="1" applyNumberFormat="1">
      <alignment horizontal="center" vertical="center" wrapText="1"/>
    </xf>
    <xf numFmtId="164" fontId="23" fillId="39" borderId="16" xfId="0" applyFont="1" applyFill="1" applyBorder="1" applyNumberFormat="1">
      <alignment horizontal="right" vertical="center" wrapText="1"/>
      <protection locked="0"/>
    </xf>
    <xf numFmtId="4" fontId="23" fillId="39" borderId="15" xfId="0" applyFont="1" applyFill="1" applyBorder="1" applyNumberFormat="1">
      <alignment horizontal="right" vertical="center" wrapText="1"/>
      <protection locked="0"/>
    </xf>
    <xf numFmtId="0" fontId="53" fillId="0" borderId="19" xfId="0" applyFont="1" applyBorder="1" applyNumberFormat="1">
      <alignment vertical="top" wrapText="1"/>
    </xf>
    <xf numFmtId="0" fontId="23" fillId="39" borderId="14" xfId="0" applyFont="1" applyFill="1" applyBorder="1" applyNumberFormat="1">
      <alignment horizontal="left" vertical="center" wrapText="1" indent="7"/>
      <protection locked="0"/>
    </xf>
    <xf numFmtId="49" fontId="0" fillId="42" borderId="14" xfId="0" applyFont="1" applyFill="1" applyBorder="1" applyNumberFormat="1">
      <alignment horizontal="center" vertical="center" wrapText="1"/>
      <protection locked="0"/>
    </xf>
    <xf numFmtId="4" fontId="55" fillId="0" borderId="16" xfId="0" applyFont="1" applyBorder="1" applyNumberFormat="1">
      <alignment horizontal="center" vertical="center" wrapText="1"/>
    </xf>
    <xf numFmtId="4" fontId="23" fillId="0" borderId="15" xfId="0" applyFont="1" applyBorder="1" applyNumberFormat="1">
      <alignment horizontal="right" vertical="center" wrapText="1"/>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14" xfId="0" applyFont="1" applyBorder="1" applyNumberFormat="1">
      <alignment horizontal="left" vertical="center" wrapText="1" indent="5"/>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45"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23" fillId="0" borderId="14" xfId="0" applyFont="1" applyBorder="1" applyNumberFormat="1">
      <alignment horizontal="left" vertical="center" wrapText="1" indent="4"/>
    </xf>
    <xf numFmtId="49" fontId="23" fillId="37" borderId="14" xfId="0" applyFont="1" applyFill="1" applyBorder="1" applyNumberFormat="1">
      <alignment horizontal="center" vertical="center" wrapText="1"/>
    </xf>
    <xf numFmtId="0" fontId="23" fillId="43" borderId="14" xfId="0" applyFont="1" applyFill="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0" fontId="23" fillId="37" borderId="38" xfId="0" applyFont="1" applyFill="1" applyBorder="1" applyNumberFormat="1">
      <alignment horizontal="left" vertical="center" wrapText="1"/>
    </xf>
    <xf numFmtId="49" fontId="23" fillId="42" borderId="38" xfId="0" applyFont="1" applyFill="1" applyBorder="1" applyNumberFormat="1">
      <alignment horizontal="left" vertical="center" wrapText="1" indent="6"/>
      <protection locked="0"/>
    </xf>
    <xf numFmtId="164" fontId="23" fillId="40" borderId="15" xfId="0" applyFont="1" applyFill="1" applyBorder="1" applyNumberFormat="1">
      <alignment horizontal="right" vertical="center" wrapText="1"/>
    </xf>
    <xf numFmtId="49" fontId="48" fillId="40" borderId="16" xfId="0" applyFont="1" applyFill="1" applyBorder="1" applyNumberFormat="1">
      <alignment horizontal="left" vertical="center"/>
    </xf>
    <xf numFmtId="164" fontId="23" fillId="40" borderId="17" xfId="0" applyFont="1" applyFill="1" applyBorder="1" applyNumberFormat="1">
      <alignment horizontal="right" vertical="center" wrapText="1"/>
    </xf>
    <xf numFmtId="4" fontId="23" fillId="0" borderId="38" xfId="0" applyFont="1" applyBorder="1" applyNumberFormat="1">
      <alignment horizontal="right" vertical="center" wrapText="1"/>
    </xf>
    <xf numFmtId="49" fontId="48" fillId="40" borderId="16" xfId="0" applyFont="1" applyFill="1" applyBorder="1" applyNumberFormat="1">
      <alignment horizontal="left" vertical="center" indent="1"/>
    </xf>
    <xf numFmtId="0" fontId="23" fillId="37" borderId="25" xfId="0" applyFont="1" applyFill="1" applyBorder="1" applyNumberFormat="1">
      <alignment horizontal="left" vertical="center" wrapText="1"/>
    </xf>
    <xf numFmtId="49" fontId="23" fillId="42" borderId="25" xfId="0" applyFont="1" applyFill="1" applyBorder="1" applyNumberFormat="1">
      <alignment horizontal="left" vertical="center" wrapText="1" indent="6"/>
      <protection locked="0"/>
    </xf>
    <xf numFmtId="4" fontId="55" fillId="40" borderId="15" xfId="0" applyFont="1" applyFill="1" applyBorder="1" applyNumberFormat="1">
      <alignment horizontal="center"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55" fillId="0" borderId="26" xfId="0" applyFont="1" applyBorder="1" applyNumberFormat="1">
      <alignment vertical="top"/>
    </xf>
    <xf numFmtId="0" fontId="116" fillId="0" borderId="0" xfId="0" applyFont="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26"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7"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5" fillId="0" borderId="0" xfId="0" applyFont="1" applyNumberFormat="1">
      <alignment horizontal="left" vertical="center"/>
    </xf>
    <xf numFmtId="0" fontId="74" fillId="37" borderId="0" xfId="0" applyFont="1" applyFill="1" applyNumberFormat="1">
      <alignment vertical="center" wrapText="1"/>
    </xf>
    <xf numFmtId="0" fontId="23" fillId="37" borderId="3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6"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14" xfId="0" applyFont="1" applyBorder="1" applyNumberFormat="1">
      <alignment horizontal="left" vertical="center" wrapText="1" indent="1"/>
    </xf>
    <xf numFmtId="0" fontId="23" fillId="0" borderId="14" xfId="0" applyFont="1" applyBorder="1" applyNumberFormat="1">
      <alignment horizontal="left" vertical="center" wrapText="1" indent="1"/>
    </xf>
    <xf numFmtId="49" fontId="23" fillId="40" borderId="16" xfId="0" applyFont="1" applyFill="1" applyBorder="1" applyNumberFormat="1">
      <alignment horizontal="center" vertical="center" wrapText="1"/>
    </xf>
    <xf numFmtId="49" fontId="77" fillId="0" borderId="26" xfId="0" applyFont="1" applyBorder="1" applyNumberFormat="1">
      <alignment vertical="top"/>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49" fontId="48" fillId="40" borderId="17" xfId="0" applyFont="1" applyFill="1" applyBorder="1" applyNumberFormat="1">
      <alignment horizontal="left" vertical="center" indent="3"/>
    </xf>
    <xf numFmtId="0" fontId="55" fillId="0" borderId="0" xfId="0" applyFont="1" applyNumberFormat="1">
      <alignment horizontal="center" vertical="center"/>
    </xf>
    <xf numFmtId="0" fontId="54" fillId="0" borderId="0" xfId="0" applyFont="1" applyNumberFormat="1">
      <alignment horizontal="center" vertical="center" wrapText="1"/>
    </xf>
    <xf numFmtId="0" fontId="115" fillId="0" borderId="0" xfId="0" applyFont="1" applyNumberFormat="1">
      <alignment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0" fontId="23" fillId="38" borderId="17" xfId="0" applyFont="1" applyFill="1" applyBorder="1" applyNumberFormat="1">
      <alignment horizontal="left" vertical="center" wrapText="1"/>
    </xf>
    <xf numFmtId="0" fontId="54" fillId="0" borderId="0" xfId="0" applyFont="1" applyNumberFormat="1">
      <alignment horizontal="center" vertical="center" wrapText="1"/>
    </xf>
    <xf numFmtId="0" fontId="55" fillId="0" borderId="17" xfId="0" applyFont="1" applyBorder="1" applyNumberFormat="1">
      <alignment horizontal="left" vertical="center" wrapText="1"/>
    </xf>
    <xf numFmtId="49" fontId="23" fillId="43" borderId="14" xfId="0" applyFont="1" applyFill="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23" fillId="43" borderId="17"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5" fillId="0" borderId="29" xfId="0" applyFont="1" applyBorder="1" applyNumberFormat="1">
      <alignment horizontal="center" vertical="center" wrapText="1"/>
    </xf>
    <xf numFmtId="0" fontId="23" fillId="42" borderId="15"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0" fontId="55" fillId="0" borderId="0" xfId="0" applyFont="1" applyNumberFormat="1">
      <alignment horizontal="center" vertical="center" wrapText="1"/>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23" fillId="39" borderId="38" xfId="0" applyFont="1" applyFill="1" applyBorder="1" applyNumberFormat="1">
      <alignment horizontal="left" vertical="center" wrapText="1" indent="6"/>
      <protection locked="0"/>
    </xf>
    <xf numFmtId="49" fontId="23" fillId="43" borderId="31" xfId="0" applyFont="1" applyFill="1" applyBorder="1" applyNumberFormat="1">
      <alignment horizontal="center" vertical="center" wrapText="1"/>
    </xf>
    <xf numFmtId="49" fontId="48" fillId="40" borderId="29" xfId="0" applyFont="1" applyFill="1" applyBorder="1" applyNumberFormat="1">
      <alignment horizontal="left" vertical="center"/>
    </xf>
    <xf numFmtId="49" fontId="23" fillId="39" borderId="25" xfId="0" applyFont="1" applyFill="1" applyBorder="1" applyNumberFormat="1">
      <alignment horizontal="left" vertical="center" wrapText="1" indent="6"/>
      <protection locked="0"/>
    </xf>
    <xf numFmtId="0" fontId="55" fillId="0" borderId="0" xfId="0" applyFont="1" applyNumberFormat="1">
      <alignment horizontal="center" vertical="center"/>
    </xf>
    <xf numFmtId="0" fontId="55" fillId="0" borderId="0" xfId="0" applyFont="1" applyNumberFormat="1">
      <alignment horizontal="left" vertical="center" wrapText="1" indent="1"/>
    </xf>
    <xf numFmtId="0" fontId="23" fillId="37" borderId="14" xfId="0" applyFont="1" applyFill="1" applyBorder="1" applyNumberFormat="1">
      <alignment horizontal="center" vertical="center" wrapText="1"/>
    </xf>
    <xf numFmtId="0" fontId="55" fillId="0" borderId="21" xfId="0" applyFont="1" applyBorder="1" applyNumberFormat="1">
      <alignment horizontal="lef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49" fontId="23" fillId="43"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55" fillId="0" borderId="14" xfId="0" applyFont="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54" fillId="0" borderId="0" xfId="0" applyFont="1" applyNumberFormat="1">
      <alignment horizontal="center" vertical="center" wrapText="1"/>
    </xf>
    <xf numFmtId="49" fontId="23" fillId="37" borderId="14"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49"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0" fontId="23" fillId="0" borderId="14" xfId="0" applyFont="1" applyBorder="1" applyNumberFormat="1">
      <alignment horizontal="center" vertical="center" wrapText="1"/>
    </xf>
    <xf numFmtId="0" fontId="23" fillId="0" borderId="14" xfId="0" applyFont="1" applyBorder="1" applyNumberFormat="1">
      <alignment vertical="center" wrapText="1"/>
    </xf>
    <xf numFmtId="0" fontId="89" fillId="0" borderId="0" xfId="0" applyFont="1" applyNumberFormat="1">
      <alignment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4" fontId="23" fillId="39" borderId="14" xfId="0" applyFont="1" applyFill="1" applyBorder="1" applyNumberFormat="1">
      <alignment horizontal="right" vertical="center" wrapText="1"/>
      <protection locked="0"/>
    </xf>
    <xf numFmtId="0" fontId="23" fillId="39" borderId="14" xfId="0" applyFont="1" applyFill="1" applyBorder="1" applyNumberFormat="1">
      <alignment horizontal="left" vertical="center" wrapText="1"/>
      <protection locked="0"/>
    </xf>
    <xf numFmtId="49" fontId="96" fillId="0" borderId="0" xfId="0" applyFont="1" applyNumberFormat="1">
      <alignment horizontal="center" vertical="center" wrapText="1"/>
    </xf>
    <xf numFmtId="49" fontId="23" fillId="0" borderId="0" xfId="0" applyFont="1" applyNumberFormat="1">
      <alignment horizontal="center" vertical="top" wrapText="1"/>
    </xf>
    <xf numFmtId="0" fontId="23" fillId="0" borderId="14" xfId="0" applyFont="1" applyBorder="1" applyNumberFormat="1">
      <alignment horizontal="center" vertical="center" wrapText="1"/>
    </xf>
    <xf numFmtId="0" fontId="23" fillId="0" borderId="15" xfId="0" applyFont="1" applyBorder="1" applyNumberFormat="1">
      <alignment vertical="top" wrapText="1"/>
    </xf>
    <xf numFmtId="0" fontId="59" fillId="0" borderId="0" xfId="0" applyFont="1" applyNumberFormat="1">
      <alignment vertical="center" wrapText="1"/>
    </xf>
    <xf numFmtId="0" fontId="23" fillId="0" borderId="15" xfId="0" applyFont="1" applyBorder="1" applyNumberFormat="1">
      <alignment horizontal="center" vertical="center" wrapText="1"/>
    </xf>
    <xf numFmtId="166" fontId="23" fillId="39" borderId="14" xfId="0" applyFont="1" applyFill="1" applyBorder="1" applyNumberFormat="1">
      <alignment horizontal="right" vertical="center" wrapText="1"/>
      <protection locked="0"/>
    </xf>
    <xf numFmtId="0" fontId="23" fillId="0" borderId="22" xfId="0" applyFont="1" applyBorder="1" applyNumberFormat="1">
      <alignment vertical="center" wrapText="1"/>
    </xf>
    <xf numFmtId="0" fontId="40"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2" fillId="37" borderId="0" xfId="0" applyFont="1" applyFill="1" applyNumberFormat="1">
      <alignment horizontal="right" vertical="center"/>
    </xf>
    <xf numFmtId="0" fontId="23" fillId="0" borderId="16" xfId="0" applyFont="1" applyBorder="1" applyNumberFormat="1">
      <alignment vertical="center"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0" fontId="45" fillId="0" borderId="0" xfId="0" applyFont="1" applyNumberFormat="1">
      <alignment horizontal="center" vertical="center" wrapText="1"/>
    </xf>
    <xf numFmtId="49" fontId="23" fillId="40" borderId="16" xfId="0" applyFont="1" applyFill="1" applyBorder="1" applyNumberFormat="1">
      <alignment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14" xfId="0" applyFont="1" applyBorder="1" applyNumberFormat="1">
      <alignment horizontal="left" vertical="center" wrapText="1" indent="2"/>
    </xf>
    <xf numFmtId="14" fontId="23" fillId="0" borderId="0" xfId="0" applyFont="1" applyNumberFormat="1">
      <alignment horizontal="center" vertical="center" wrapText="1"/>
    </xf>
    <xf numFmtId="49" fontId="96" fillId="48" borderId="0" xfId="0" applyFont="1" applyFill="1" applyNumberFormat="1">
      <alignment horizontal="center" vertical="center" wrapText="1"/>
    </xf>
    <xf numFmtId="49" fontId="36" fillId="0" borderId="0" xfId="0" applyFont="1" applyNumberFormat="1">
      <alignment horizontal="center" vertical="center"/>
    </xf>
    <xf numFmtId="166" fontId="23" fillId="42" borderId="14" xfId="0" applyFont="1" applyFill="1" applyBorder="1" applyNumberFormat="1">
      <alignment horizontal="right" vertical="center" wrapText="1"/>
      <protection locked="0"/>
    </xf>
    <xf numFmtId="49" fontId="96" fillId="0" borderId="0" xfId="0" applyFont="1" applyNumberFormat="1">
      <alignment horizontal="left" vertical="center" wrapText="1"/>
    </xf>
    <xf numFmtId="0" fontId="55" fillId="0" borderId="0" xfId="0" applyFont="1" applyNumberFormat="1">
      <alignment horizontal="left" vertical="center" wrapText="1"/>
    </xf>
    <xf numFmtId="49" fontId="23"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43" borderId="14" xfId="0" applyFont="1" applyFill="1" applyBorder="1" applyNumberFormat="1">
      <alignment horizontal="left" vertical="center" wrapText="1"/>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4" fontId="23" fillId="42" borderId="15" xfId="0" applyFont="1" applyFill="1" applyBorder="1" applyNumberFormat="1">
      <alignment horizontal="right" vertical="center" wrapText="1"/>
      <protection locked="0"/>
    </xf>
    <xf numFmtId="49" fontId="34" fillId="39" borderId="15" xfId="0" applyFont="1" applyFill="1" applyBorder="1" applyNumberFormat="1">
      <alignment horizontal="left" vertical="center" wrapText="1"/>
      <protection locked="0"/>
    </xf>
    <xf numFmtId="49" fontId="34" fillId="39" borderId="14" xfId="0" applyFont="1" applyFill="1" applyBorder="1" applyNumberFormat="1">
      <alignment horizontal="left" vertical="center" wrapText="1"/>
      <protection locked="0"/>
    </xf>
    <xf numFmtId="0" fontId="54" fillId="0" borderId="0" xfId="0" applyFont="1" applyNumberFormat="1">
      <alignment vertical="center" wrapText="1"/>
    </xf>
    <xf numFmtId="0" fontId="55" fillId="0" borderId="0" xfId="0" applyFont="1" applyNumberFormat="1">
      <alignment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166" fontId="23" fillId="42" borderId="15" xfId="0" applyFont="1" applyFill="1" applyBorder="1" applyNumberFormat="1">
      <alignment horizontal="right" vertical="center" wrapText="1"/>
      <protection locked="0"/>
    </xf>
    <xf numFmtId="0" fontId="89"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166" fontId="23" fillId="38" borderId="15" xfId="0" applyFont="1" applyFill="1" applyBorder="1" applyNumberFormat="1">
      <alignment horizontal="right" vertical="center" wrapText="1"/>
    </xf>
    <xf numFmtId="166" fontId="23" fillId="38" borderId="14" xfId="0" applyFont="1" applyFill="1" applyBorder="1" applyNumberFormat="1">
      <alignment horizontal="right" vertical="center" wrapText="1"/>
    </xf>
    <xf numFmtId="49" fontId="96" fillId="48" borderId="0" xfId="0" applyFont="1" applyFill="1" applyNumberFormat="1">
      <alignment horizontal="center" vertical="center" textRotation="90" wrapText="1"/>
    </xf>
    <xf numFmtId="0" fontId="23" fillId="42" borderId="14" xfId="0" applyFont="1" applyFill="1" applyBorder="1" applyNumberFormat="1">
      <alignment horizontal="center" vertical="center" wrapText="1"/>
      <protection locked="0"/>
    </xf>
    <xf numFmtId="4" fontId="23" fillId="42" borderId="31"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166" fontId="23" fillId="42" borderId="19" xfId="0" applyFont="1" applyFill="1" applyBorder="1" applyNumberFormat="1">
      <alignment horizontal="right" vertical="center" wrapText="1"/>
      <protection locked="0"/>
    </xf>
    <xf numFmtId="0" fontId="55" fillId="0" borderId="25" xfId="0" applyFont="1" applyBorder="1" applyNumberFormat="1">
      <alignment horizontal="left" vertical="center" wrapText="1" indent="1"/>
    </xf>
    <xf numFmtId="0" fontId="55" fillId="0" borderId="19" xfId="0" applyFont="1" applyBorder="1" applyNumberFormat="1">
      <alignment horizontal="center" vertical="center" wrapText="1"/>
    </xf>
    <xf numFmtId="0" fontId="45" fillId="0" borderId="0" xfId="0" applyFont="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25" xfId="0" applyFont="1" applyBorder="1" applyNumberFormat="1">
      <alignment vertical="top" wrapText="1"/>
    </xf>
    <xf numFmtId="0" fontId="55" fillId="0" borderId="19" xfId="0" applyFont="1" applyBorder="1" applyNumberFormat="1">
      <alignment horizontal="left" vertical="center" wrapText="1" indent="1"/>
    </xf>
    <xf numFmtId="49" fontId="34" fillId="39" borderId="14"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59" fillId="0" borderId="0" xfId="0" applyFont="1" applyNumberFormat="1">
      <alignment vertical="center"/>
    </xf>
    <xf numFmtId="0" fontId="96" fillId="0" borderId="0" xfId="0" applyFont="1" applyNumberFormat="1">
      <alignment vertical="center" wrapText="1"/>
    </xf>
    <xf numFmtId="0" fontId="23" fillId="0" borderId="21" xfId="0" applyFont="1" applyBorder="1" applyNumberFormat="1">
      <alignment vertical="center" wrapText="1"/>
    </xf>
    <xf numFmtId="0" fontId="23" fillId="0" borderId="0" xfId="0" applyFont="1" applyNumberFormat="1">
      <alignment horizontal="center" vertical="center" wrapText="1"/>
    </xf>
    <xf numFmtId="49" fontId="40" fillId="0" borderId="0" xfId="0" applyFont="1" applyNumberFormat="1">
      <alignment horizontal="center" vertical="center" wrapText="1"/>
    </xf>
    <xf numFmtId="0" fontId="23" fillId="0" borderId="29" xfId="0" applyFont="1" applyBorder="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36" fillId="0" borderId="0" xfId="0" applyFont="1" applyNumberFormat="1">
      <alignment horizontal="center" vertical="center" wrapText="1"/>
    </xf>
    <xf numFmtId="49" fontId="68" fillId="0" borderId="0" xfId="0" applyFont="1" applyNumberFormat="1">
      <alignment horizontal="center" vertical="center" wrapText="1"/>
    </xf>
    <xf numFmtId="0" fontId="77" fillId="0" borderId="0" xfId="0" applyFont="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68" fillId="0" borderId="0" xfId="0" applyFont="1" applyNumberFormat="1">
      <alignment vertical="center" wrapText="1"/>
    </xf>
    <xf numFmtId="0" fontId="76" fillId="0" borderId="0" xfId="0" applyFont="1" applyNumberFormat="1">
      <alignment vertical="center" wrapText="1"/>
    </xf>
    <xf numFmtId="0" fontId="23" fillId="0" borderId="14" xfId="0" applyFont="1" applyBorder="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center" vertical="center" wrapText="1"/>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19" xfId="0" applyFont="1" applyBorder="1" applyNumberFormat="1">
      <alignment horizontal="center" vertical="center" wrapText="1"/>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38" borderId="14" xfId="0" applyFont="1" applyFill="1" applyBorder="1" applyNumberFormat="1">
      <alignment horizontal="left" vertical="center" wrapText="1" indent="1"/>
    </xf>
    <xf numFmtId="0" fontId="23" fillId="0" borderId="15" xfId="0" applyFont="1" applyBorder="1" applyNumberFormat="1">
      <alignment horizontal="left" vertical="center" wrapText="1" indent="1"/>
    </xf>
    <xf numFmtId="49" fontId="55" fillId="0" borderId="24" xfId="0" applyFont="1" applyBorder="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0" fontId="54" fillId="0" borderId="0" xfId="0" applyFont="1" applyNumberFormat="1">
      <alignment horizontal="center"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49" fontId="55"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25" xfId="0" applyFont="1" applyBorder="1" applyNumberFormat="1">
      <alignment horizontal="left" vertical="center" wrapText="1"/>
    </xf>
    <xf numFmtId="2" fontId="23" fillId="0" borderId="25" xfId="0" applyFont="1" applyBorder="1" applyNumberFormat="1">
      <alignment horizontal="center" vertical="center" wrapText="1"/>
    </xf>
    <xf numFmtId="0" fontId="23" fillId="0" borderId="14" xfId="0" applyFont="1" applyBorder="1" applyNumberFormat="1">
      <alignment horizontal="left" vertical="center" wrapText="1"/>
    </xf>
    <xf numFmtId="49" fontId="55" fillId="0" borderId="24" xfId="0" applyFont="1" applyBorder="1" applyNumberFormat="1">
      <alignment vertical="top"/>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24" xfId="0" applyFont="1" applyBorder="1" applyNumberFormat="1">
      <alignmen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23" fillId="0" borderId="25" xfId="0" applyFont="1" applyBorder="1" applyNumberFormat="1">
      <alignment horizontal="left" vertical="center" wrapText="1"/>
    </xf>
    <xf numFmtId="0" fontId="23" fillId="0" borderId="14" xfId="0" applyFont="1" applyBorder="1" applyNumberFormat="1">
      <alignment horizontal="left" vertical="center" wrapText="1"/>
    </xf>
    <xf numFmtId="0" fontId="54" fillId="0" borderId="0" xfId="0" applyFont="1" applyNumberFormat="1">
      <alignment horizontal="center" vertical="top"/>
    </xf>
    <xf numFmtId="0" fontId="55" fillId="0" borderId="0" xfId="0" applyFont="1" applyNumberFormat="1">
      <alignment horizontal="center" vertical="center" wrapText="1"/>
    </xf>
    <xf numFmtId="49" fontId="55" fillId="0" borderId="25" xfId="0" applyFont="1" applyBorder="1" applyNumberFormat="1">
      <alignment horizontal="center" vertical="center" wrapText="1"/>
    </xf>
    <xf numFmtId="49" fontId="48" fillId="0" borderId="21"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53" fillId="0" borderId="0" xfId="0" applyFont="1" applyNumberFormat="1">
      <alignment horizontal="lef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55" fillId="0" borderId="16" xfId="0" applyFont="1" applyBorder="1" applyNumberFormat="1">
      <alignment vertical="center" wrapTex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55" fillId="0" borderId="16" xfId="0" applyFont="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14" xfId="0" applyFont="1" applyBorder="1" applyNumberFormat="1">
      <alignment horizontal="left" vertical="center" wrapText="1"/>
    </xf>
    <xf numFmtId="49" fontId="23" fillId="0" borderId="61" xfId="0" applyFont="1" applyBorder="1" applyNumberFormat="1">
      <alignment horizontal="center" vertical="center" wrapText="1"/>
    </xf>
    <xf numFmtId="0" fontId="23"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5"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9" fontId="48" fillId="40" borderId="21" xfId="0" applyFont="1" applyFill="1" applyBorder="1" applyNumberFormat="1">
      <alignment horizontal="left" vertical="center" indent="2"/>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9" xfId="0" applyFont="1" applyBorder="1" applyNumberFormat="1">
      <alignment horizontal="left" vertical="center" wrapText="1"/>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9" xfId="0" applyFont="1" applyBorder="1" applyNumberFormat="1">
      <alignment horizontal="left" vertical="center" wrapText="1" indent="1"/>
    </xf>
    <xf numFmtId="0" fontId="23" fillId="0" borderId="19"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left" vertical="center" wrapText="1" inden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horizontal="left" vertical="top"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9" fontId="23" fillId="58" borderId="0" xfId="0" applyFont="1" applyFill="1" applyNumberFormat="1">
      <alignment horizontal="center" vertical="center" textRotation="90"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76" fillId="0" borderId="24" xfId="0" applyFont="1" applyBorder="1" applyNumberFormat="1">
      <alignment vertical="center" wrapText="1"/>
    </xf>
    <xf numFmtId="49"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23" fillId="0" borderId="14" xfId="0" applyFont="1" applyBorder="1" applyNumberFormat="1">
      <alignment horizontal="center" vertical="center" wrapText="1"/>
    </xf>
    <xf numFmtId="49" fontId="23" fillId="39" borderId="14" xfId="0" applyFont="1" applyFill="1" applyBorder="1" applyNumberFormat="1">
      <alignment horizontal="left" vertical="center" wrapText="1"/>
      <protection locked="0"/>
    </xf>
    <xf numFmtId="3" fontId="23" fillId="39" borderId="16" xfId="0" applyFont="1" applyFill="1" applyBorder="1" applyNumberFormat="1">
      <alignment horizontal="right" vertical="center" wrapText="1"/>
      <protection locked="0"/>
    </xf>
    <xf numFmtId="4" fontId="23" fillId="39" borderId="16" xfId="0" applyFont="1" applyFill="1" applyBorder="1" applyNumberFormat="1">
      <alignment horizontal="right" vertical="center" wrapText="1"/>
      <protection locked="0"/>
    </xf>
    <xf numFmtId="49" fontId="23" fillId="42" borderId="14"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88" fillId="0" borderId="0" xfId="0" applyFont="1" applyNumberFormat="1">
      <alignment vertical="center" wrapText="1"/>
    </xf>
    <xf numFmtId="0" fontId="23" fillId="0" borderId="14" xfId="0" applyFont="1" applyBorder="1" applyNumberFormat="1">
      <alignment horizontal="left" vertical="center" wrapText="1" indent="2"/>
    </xf>
    <xf numFmtId="3" fontId="53" fillId="39" borderId="14" xfId="0" applyFont="1" applyFill="1" applyBorder="1" applyNumberFormat="1">
      <alignment horizontal="right" vertical="center"/>
      <protection locked="0"/>
    </xf>
    <xf numFmtId="49" fontId="23" fillId="39" borderId="16"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vertical="top"/>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4" xfId="0" applyFont="1" applyBorder="1" applyNumberFormat="1">
      <alignment horizontal="left" vertical="center" wrapText="1"/>
    </xf>
    <xf numFmtId="49" fontId="23" fillId="0" borderId="34" xfId="0" applyFont="1" applyBorder="1" applyNumberFormat="1">
      <alignment horizontal="center" vertical="center" wrapText="1"/>
    </xf>
    <xf numFmtId="0" fontId="23" fillId="0" borderId="34" xfId="0" applyFont="1" applyBorder="1" applyNumberFormat="1">
      <alignment horizontal="left" vertical="center" wrapText="1"/>
    </xf>
    <xf numFmtId="4" fontId="23" fillId="0" borderId="42" xfId="0" applyFont="1" applyBorder="1" applyNumberFormat="1">
      <alignment horizontal="center" vertical="center" wrapText="1"/>
    </xf>
    <xf numFmtId="49" fontId="34" fillId="0" borderId="32"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5"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34" fillId="0" borderId="16" xfId="0" applyFont="1" applyBorder="1" applyNumberFormat="1">
      <alignment horizontal="left" vertical="center" wrapText="1"/>
    </xf>
    <xf numFmtId="4" fontId="23" fillId="0" borderId="19"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0" fontId="23" fillId="0" borderId="35" xfId="0" applyFont="1" applyBorder="1" applyNumberFormat="1">
      <alignment horizontal="left" vertical="center" wrapText="1"/>
    </xf>
    <xf numFmtId="49" fontId="34" fillId="0" borderId="17"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0" borderId="34"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2"/>
    </xf>
    <xf numFmtId="4" fontId="23" fillId="0" borderId="33" xfId="0" applyFont="1" applyBorder="1" applyNumberFormat="1">
      <alignment horizontal="center" vertical="center" wrapText="1"/>
    </xf>
    <xf numFmtId="49" fontId="23" fillId="0" borderId="36" xfId="0" applyFont="1" applyBorder="1" applyNumberFormat="1">
      <alignment horizontal="center" vertical="center" wrapText="1"/>
    </xf>
    <xf numFmtId="49" fontId="34" fillId="42" borderId="14"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 fontId="23" fillId="0" borderId="37" xfId="0" applyFont="1" applyBorder="1" applyNumberFormat="1">
      <alignment horizontal="center" vertical="center" wrapText="1"/>
    </xf>
    <xf numFmtId="49" fontId="34" fillId="0" borderId="39" xfId="0" applyFont="1" applyBorder="1" applyNumberFormat="1">
      <alignment horizontal="left" vertical="center" wrapText="1"/>
    </xf>
    <xf numFmtId="49" fontId="23" fillId="0" borderId="35"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 fontId="23" fillId="42" borderId="36" xfId="0" applyFont="1" applyFill="1" applyBorder="1" applyNumberFormat="1">
      <alignment horizontal="right" vertical="center" wrapText="1"/>
      <protection locked="0"/>
    </xf>
    <xf numFmtId="49" fontId="34" fillId="42" borderId="16" xfId="0" applyFont="1" applyFill="1" applyBorder="1" applyNumberFormat="1">
      <alignment horizontal="left" vertical="center" wrapText="1"/>
      <protection locked="0"/>
    </xf>
    <xf numFmtId="0" fontId="54" fillId="0" borderId="0" xfId="0" applyFont="1" applyNumberFormat="1">
      <alignment horizontal="center" vertical="center"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0" fillId="0" borderId="16" xfId="0" applyFont="1" applyBorder="1" applyNumberFormat="1">
      <alignment horizontal="center" vertical="center"/>
    </xf>
    <xf numFmtId="0" fontId="23" fillId="0" borderId="15" xfId="0" applyFont="1" applyBorder="1" applyNumberFormat="1">
      <alignment horizontal="center" vertical="center" wrapText="1"/>
    </xf>
    <xf numFmtId="167" fontId="0" fillId="39"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44" fillId="0" borderId="0" xfId="0" applyFont="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0" borderId="15"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5" xfId="0" applyFont="1" applyBorder="1" applyNumberFormat="1">
      <alignment horizontal="center"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vertical="center" wrapText="1"/>
    </xf>
    <xf numFmtId="0" fontId="23" fillId="40" borderId="29" xfId="0" applyFont="1" applyFill="1" applyBorder="1" applyNumberFormat="1">
      <alignment vertical="center" wrapText="1"/>
    </xf>
    <xf numFmtId="0" fontId="4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49" fontId="103" fillId="0" borderId="0" xfId="0" applyFont="1" applyNumberFormat="1">
      <alignment horizontal="center"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49" fontId="55" fillId="0" borderId="14" xfId="0" applyFont="1" applyBorder="1" applyNumberFormat="1">
      <alignment horizontal="center" vertical="center" wrapText="1"/>
    </xf>
    <xf numFmtId="0" fontId="0" fillId="0" borderId="14" xfId="0" applyFont="1" applyBorder="1" applyNumberFormat="1">
      <alignment horizontal="left" vertical="center" wrapText="1" indent="1"/>
    </xf>
    <xf numFmtId="49"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55" fillId="0" borderId="0" xfId="0" applyFont="1" applyNumberFormat="1">
      <alignment horizontal="center" vertical="center" wrapText="1"/>
    </xf>
    <xf numFmtId="49" fontId="23" fillId="0" borderId="16" xfId="0" applyFont="1" applyBorder="1" applyNumberFormat="1">
      <alignment horizontal="center" vertical="center" wrapText="1"/>
    </xf>
    <xf numFmtId="49" fontId="48" fillId="40" borderId="16" xfId="0" applyFont="1" applyFill="1" applyBorder="1" applyNumberFormat="1">
      <alignment horizontal="left" vertical="center" indent="1"/>
    </xf>
    <xf numFmtId="0" fontId="23" fillId="40" borderId="31" xfId="0" applyFont="1" applyFill="1" applyBorder="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78" fillId="0" borderId="41" xfId="0" applyFont="1" applyBorder="1" applyNumberFormat="1">
      <alignment vertical="top"/>
    </xf>
    <xf numFmtId="49" fontId="78" fillId="0" borderId="41" xfId="0" applyFont="1" applyBorder="1" applyNumberFormat="1">
      <alignment vertical="top"/>
    </xf>
    <xf numFmtId="0" fontId="36" fillId="37" borderId="41" xfId="0" applyFont="1" applyFill="1" applyBorder="1" applyNumberFormat="1">
      <alignment horizontal="center" wrapText="1"/>
    </xf>
    <xf numFmtId="0" fontId="36" fillId="37" borderId="41" xfId="0" applyFont="1" applyFill="1" applyBorder="1" applyNumberFormat="1">
      <alignment horizont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40" xfId="0" applyFont="1" applyBorder="1" applyNumberFormat="1">
      <alignmen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0" fillId="0" borderId="14" xfId="0" applyFont="1" applyBorder="1" applyNumberFormat="1">
      <alignment horizontal="center" vertical="center" wrapText="1"/>
    </xf>
    <xf numFmtId="49" fontId="23" fillId="0" borderId="0" xfId="0" applyFont="1" applyNumberFormat="1">
      <alignment vertical="top"/>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1" xfId="0" applyFont="1" applyFill="1" applyBorder="1" applyNumberFormat="1">
      <alignment vertical="center" wrapText="1"/>
    </xf>
    <xf numFmtId="49" fontId="23" fillId="0" borderId="0" xfId="0" applyFont="1" applyNumberFormat="1">
      <alignment vertical="top"/>
    </xf>
    <xf numFmtId="49" fontId="55" fillId="0" borderId="0" xfId="0" applyFont="1" applyNumberFormat="1">
      <alignment vertical="top"/>
    </xf>
    <xf numFmtId="0" fontId="55" fillId="0" borderId="41" xfId="0" applyFont="1" applyBorder="1" applyNumberFormat="1">
      <alignment vertical="center" wrapText="1"/>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0" fontId="23" fillId="0" borderId="40" xfId="0" applyFont="1" applyBorder="1" applyNumberFormat="1">
      <alignment vertical="center"/>
    </xf>
    <xf numFmtId="49" fontId="0" fillId="0" borderId="19"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23" fillId="0" borderId="24" xfId="0" applyFont="1" applyBorder="1" applyNumberFormat="1">
      <alignment vertical="top"/>
    </xf>
    <xf numFmtId="49" fontId="0" fillId="0" borderId="38"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xf>
    <xf numFmtId="49" fontId="0" fillId="38" borderId="14" xfId="0" applyFont="1" applyFill="1" applyBorder="1" applyNumberFormat="1">
      <alignment horizontal="center" vertical="center"/>
    </xf>
    <xf numFmtId="0" fontId="23" fillId="0" borderId="24" xfId="0" applyFont="1" applyBorder="1" applyNumberFormat="1">
      <alignment vertical="center" wrapText="1"/>
    </xf>
    <xf numFmtId="49" fontId="0" fillId="0" borderId="14"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 fontId="0" fillId="39"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horizontal="left" vertical="center" wrapText="1"/>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23" fillId="0" borderId="0" xfId="0" applyFont="1" applyNumberFormat="1">
      <alignment horizontal="center" vertical="top" wrapText="1"/>
    </xf>
    <xf numFmtId="49" fontId="40"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2" xfId="0" applyFont="1" applyBorder="1" applyNumberFormat="1">
      <alignment horizontal="left" vertical="top" wrapText="1"/>
    </xf>
    <xf numFmtId="49" fontId="23" fillId="0" borderId="0" xfId="0" applyFont="1" applyNumberFormat="1">
      <alignment horizontal="center" vertical="center" wrapText="1"/>
    </xf>
    <xf numFmtId="49" fontId="40" fillId="0" borderId="0" xfId="0" applyFont="1" applyNumberFormat="1">
      <alignment horizontal="center" vertical="center" wrapText="1"/>
    </xf>
    <xf numFmtId="49" fontId="23" fillId="37" borderId="0" xfId="0" applyFont="1" applyFill="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10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49" fontId="53" fillId="37" borderId="0" xfId="0" applyFont="1" applyFill="1" applyNumberFormat="1">
      <alignment vertical="center" wrapText="1"/>
    </xf>
    <xf numFmtId="49" fontId="23" fillId="37" borderId="14"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49" fontId="23" fillId="0" borderId="0" xfId="0" applyFont="1" applyNumberFormat="1">
      <alignment vertical="center" wrapText="1"/>
    </xf>
    <xf numFmtId="49" fontId="53" fillId="0" borderId="0" xfId="0" applyFont="1" applyNumberFormat="1">
      <alignment vertical="top"/>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3" fillId="37" borderId="0" xfId="0" applyFont="1" applyFill="1" applyNumberFormat="1">
      <alignment vertical="center"/>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104"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49" fontId="53" fillId="0" borderId="0" xfId="0" applyFont="1" applyNumberFormat="1">
      <alignment vertical="center" wrapText="1"/>
    </xf>
    <xf numFmtId="49" fontId="53" fillId="0" borderId="0" xfId="0" applyFont="1" applyNumberFormat="1">
      <alignment vertical="top"/>
    </xf>
    <xf numFmtId="0" fontId="53" fillId="0" borderId="0" xfId="0" applyFont="1" applyNumberFormat="1">
      <alignment vertical="center" wrapText="1"/>
    </xf>
    <xf numFmtId="49" fontId="99" fillId="0" borderId="0" xfId="0" applyFont="1" applyNumberFormat="1">
      <alignment vertical="center" wrapText="1"/>
    </xf>
    <xf numFmtId="49" fontId="53" fillId="0" borderId="0" xfId="0" applyFont="1" applyNumberFormat="1">
      <alignment vertical="center" wrapText="1"/>
    </xf>
    <xf numFmtId="49" fontId="104" fillId="0" borderId="0" xfId="0" applyFont="1" applyNumberFormat="1">
      <alignment vertical="center"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4" xfId="0" applyFont="1" applyBorder="1" applyNumberFormat="1">
      <alignment horizontal="left" vertical="top" wrapText="1"/>
    </xf>
    <xf numFmtId="3" fontId="23" fillId="42" borderId="16" xfId="0" applyFont="1" applyFill="1" applyBorder="1" applyNumberFormat="1">
      <alignment vertical="center" wrapText="1"/>
      <protection locked="0"/>
    </xf>
    <xf numFmtId="0" fontId="23" fillId="0" borderId="14" xfId="0" applyFont="1" applyBorder="1" applyNumberFormat="1">
      <alignment vertical="top" wrapText="1"/>
    </xf>
    <xf numFmtId="0" fontId="23" fillId="0" borderId="14" xfId="0" applyFont="1" applyBorder="1" applyNumberFormat="1">
      <alignment horizontal="left" vertical="top" wrapText="1"/>
    </xf>
    <xf numFmtId="4" fontId="23" fillId="38" borderId="16" xfId="0" applyFont="1" applyFill="1" applyBorder="1" applyNumberFormat="1">
      <alignment horizontal="right" vertical="center" wrapText="1"/>
    </xf>
    <xf numFmtId="0" fontId="54" fillId="0" borderId="14" xfId="0" applyFont="1" applyBorder="1" applyNumberFormat="1">
      <alignment vertical="top" wrapText="1"/>
    </xf>
    <xf numFmtId="49" fontId="23" fillId="42" borderId="14"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7"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0"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4" fillId="37" borderId="0" xfId="0" applyFont="1" applyFill="1" applyNumberFormat="1">
      <alignment horizontal="center" vertical="center" wrapText="1"/>
    </xf>
    <xf numFmtId="49" fontId="23" fillId="0" borderId="0" xfId="0" applyFont="1" applyNumberFormat="1">
      <alignment vertical="top"/>
    </xf>
    <xf numFmtId="49" fontId="0" fillId="37" borderId="14" xfId="0" applyFont="1" applyFill="1" applyBorder="1" applyNumberFormat="1">
      <alignment horizontal="center" vertical="center" wrapText="1"/>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34" fillId="42" borderId="14" xfId="0" applyFont="1" applyFill="1" applyBorder="1" applyNumberFormat="1">
      <alignment horizontal="left" vertical="center" wrapText="1"/>
      <protection locked="0"/>
    </xf>
    <xf numFmtId="0"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49" fontId="52" fillId="40" borderId="15"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47" fillId="37" borderId="0" xfId="0" applyFont="1" applyFill="1" applyNumberFormat="1">
      <alignment vertical="center" wrapText="1"/>
    </xf>
    <xf numFmtId="49" fontId="52" fillId="40" borderId="17" xfId="0" applyFont="1" applyFill="1" applyBorder="1" applyNumberFormat="1">
      <alignment horizontal="center" vertical="top"/>
    </xf>
    <xf numFmtId="0" fontId="55" fillId="0" borderId="0" xfId="0" applyFont="1" applyNumberFormat="1">
      <alignment vertical="center"/>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49" fontId="72" fillId="0" borderId="14" xfId="0" applyFont="1" applyBorder="1" applyNumberFormat="1">
      <alignment horizontal="center" vertical="center" wrapText="1"/>
    </xf>
    <xf numFmtId="0" fontId="72" fillId="0" borderId="14" xfId="0" applyFont="1" applyBorder="1" applyNumberFormat="1">
      <alignment horizontal="left" vertical="center" wrapText="1" indent="2"/>
    </xf>
    <xf numFmtId="49" fontId="75" fillId="0" borderId="16" xfId="0" applyFont="1" applyBorder="1" applyNumberFormat="1">
      <alignment horizontal="left" vertical="center" wrapText="1"/>
    </xf>
    <xf numFmtId="0" fontId="23" fillId="0" borderId="19" xfId="0" applyFont="1" applyBorder="1" applyNumberFormat="1">
      <alignment vertical="top" wrapText="1"/>
    </xf>
    <xf numFmtId="49" fontId="48" fillId="40" borderId="17" xfId="0" applyFont="1" applyFill="1" applyBorder="1" applyNumberFormat="1">
      <alignment horizontal="left" vertical="center" indent="1"/>
    </xf>
    <xf numFmtId="0" fontId="23" fillId="0" borderId="25" xfId="0" applyFont="1" applyBorder="1" applyNumberFormat="1">
      <alignment vertical="top"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47" fillId="0" borderId="0" xfId="0" applyFont="1" applyNumberFormat="1">
      <alignment vertical="center" wrapText="1"/>
    </xf>
    <xf numFmtId="49" fontId="54" fillId="0" borderId="0" xfId="0" applyFont="1" applyNumberFormat="1">
      <alignment vertical="top"/>
    </xf>
    <xf numFmtId="49" fontId="126" fillId="0" borderId="0" xfId="0" applyFont="1" applyNumberFormat="1">
      <alignment horizontal="center" vertical="center" wrapText="1"/>
    </xf>
    <xf numFmtId="0" fontId="0" fillId="42" borderId="14" xfId="0" applyFont="1" applyFill="1" applyBorder="1" applyNumberFormat="1">
      <alignment horizontal="left" vertical="center" wrapText="1" indent="1"/>
      <protection locked="0"/>
    </xf>
    <xf numFmtId="49" fontId="34"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0" fillId="0" borderId="14" xfId="0" applyFont="1" applyBorder="1" applyNumberFormat="1">
      <alignment horizontal="left" vertical="center" wrapText="1"/>
    </xf>
    <xf numFmtId="167" fontId="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0" fillId="0" borderId="14" xfId="0" applyFont="1" applyBorder="1" applyNumberFormat="1">
      <alignment horizontal="left"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4" xfId="0" applyFont="1" applyBorder="1" applyNumberFormat="1">
      <alignment vertical="top" wrapText="1"/>
    </xf>
    <xf numFmtId="49" fontId="48" fillId="40" borderId="17" xfId="0" applyFont="1" applyFill="1" applyBorder="1" applyNumberFormat="1">
      <alignment horizontal="left" vertical="center" indent="2"/>
    </xf>
    <xf numFmtId="49" fontId="48" fillId="40" borderId="17" xfId="0" applyFont="1" applyFill="1" applyBorder="1" applyNumberFormat="1">
      <alignment horizontal="left" vertical="center" indent="3"/>
    </xf>
    <xf numFmtId="49" fontId="23" fillId="43" borderId="14" xfId="0" applyFont="1" applyFill="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5" xfId="0" applyFont="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49" fontId="52" fillId="40" borderId="15" xfId="0" applyFont="1" applyFill="1" applyBorder="1" applyNumberFormat="1">
      <alignment horizontal="center" vertical="top"/>
    </xf>
    <xf numFmtId="0" fontId="0" fillId="0" borderId="15"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4" xfId="0" applyFont="1" applyBorder="1" applyNumberFormat="1">
      <alignment horizontal="center" vertical="center" wrapText="1"/>
    </xf>
    <xf numFmtId="0" fontId="23" fillId="0" borderId="17" xfId="0" applyFont="1" applyBorder="1" applyNumberFormat="1">
      <alignment horizontal="left" vertical="top" wrapText="1" indent="1"/>
    </xf>
    <xf numFmtId="0" fontId="22" fillId="0" borderId="0" xfId="0" applyFont="1" applyNumberFormat="1">
      <alignment vertical="center" wrapText="1"/>
    </xf>
    <xf numFmtId="0" fontId="0" fillId="37" borderId="16" xfId="0" applyFont="1" applyFill="1" applyBorder="1" applyNumberFormat="1">
      <alignment horizontal="right" vertical="center" wrapText="1" indent="1"/>
    </xf>
    <xf numFmtId="0" fontId="76" fillId="0" borderId="0" xfId="0" applyFont="1" applyNumberFormat="1">
      <alignment vertical="center" wrapText="1"/>
    </xf>
    <xf numFmtId="49" fontId="44" fillId="37" borderId="0" xfId="0" applyFont="1" applyFill="1" applyNumberFormat="1">
      <alignment horizontal="center" vertical="center" wrapText="1"/>
    </xf>
    <xf numFmtId="49" fontId="44" fillId="37" borderId="21" xfId="0" applyFont="1" applyFill="1" applyBorder="1" applyNumberFormat="1">
      <alignment horizontal="center" vertical="center" wrapText="1"/>
    </xf>
    <xf numFmtId="49" fontId="0" fillId="37" borderId="19"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23" fillId="0" borderId="14" xfId="0" applyFont="1" applyBorder="1" applyNumberFormat="1">
      <alignment horizontal="left" vertical="center" wrapText="1"/>
    </xf>
    <xf numFmtId="0" fontId="47" fillId="37" borderId="0" xfId="0" applyFont="1" applyFill="1" applyNumberFormat="1">
      <alignment horizontal="center" vertical="top" wrapText="1"/>
    </xf>
    <xf numFmtId="0" fontId="0" fillId="38" borderId="16" xfId="0" applyFont="1" applyFill="1" applyBorder="1" applyNumberFormat="1">
      <alignment horizontal="left" vertical="center" wrapText="1" indent="1"/>
    </xf>
    <xf numFmtId="0" fontId="0" fillId="0" borderId="15" xfId="0" applyFont="1" applyBorder="1" applyNumberFormat="1">
      <alignment horizontal="center" vertical="center" wrapText="1"/>
    </xf>
    <xf numFmtId="0" fontId="0" fillId="0" borderId="15" xfId="0" applyFont="1" applyBorder="1" applyNumberFormat="1">
      <alignment horizontal="center" vertical="center" wrapText="1"/>
    </xf>
    <xf numFmtId="49" fontId="48" fillId="40" borderId="29" xfId="0" applyFont="1" applyFill="1" applyBorder="1" applyNumberFormat="1">
      <alignment horizontal="left" vertical="center" indent="2"/>
    </xf>
    <xf numFmtId="49" fontId="48" fillId="40" borderId="17" xfId="0" applyFont="1" applyFill="1" applyBorder="1" applyNumberFormat="1">
      <alignment horizontal="left" vertical="center"/>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23" fillId="0" borderId="14" xfId="0" applyFont="1" applyBorder="1" applyNumberFormat="1">
      <alignment vertical="top" wrapText="1"/>
    </xf>
    <xf numFmtId="49" fontId="0" fillId="37" borderId="16" xfId="0" applyFont="1" applyFill="1" applyBorder="1" applyNumberFormat="1">
      <alignment horizontal="center" vertical="center" wrapText="1"/>
    </xf>
    <xf numFmtId="0" fontId="23" fillId="0" borderId="38" xfId="0" applyFont="1" applyBorder="1" applyNumberFormat="1">
      <alignment horizontal="left" vertical="top" wrapText="1"/>
    </xf>
    <xf numFmtId="49" fontId="23" fillId="0" borderId="0" xfId="0" applyFont="1" applyNumberFormat="1">
      <alignment vertical="top"/>
    </xf>
    <xf numFmtId="49" fontId="23" fillId="0" borderId="21" xfId="0" applyFont="1" applyBorder="1" applyNumberFormat="1">
      <alignment vertical="top"/>
    </xf>
    <xf numFmtId="0" fontId="22" fillId="0" borderId="0" xfId="0" applyFont="1" applyNumberFormat="1">
      <alignment horizontal="right" vertical="top" wrapText="1"/>
    </xf>
    <xf numFmtId="0" fontId="23" fillId="0" borderId="0" xfId="0" applyFont="1" applyNumberFormat="1">
      <alignment vertical="center" wrapText="1"/>
    </xf>
    <xf numFmtId="49" fontId="23" fillId="0" borderId="0" xfId="0" applyFont="1" applyNumberFormat="1">
      <alignment vertical="top"/>
    </xf>
    <xf numFmtId="49" fontId="0" fillId="42" borderId="14" xfId="0" applyFont="1" applyFill="1" applyBorder="1" applyNumberFormat="1">
      <alignment horizontal="left" vertical="center" wrapText="1" indent="1"/>
      <protection locked="0"/>
    </xf>
    <xf numFmtId="0" fontId="69" fillId="0" borderId="0" xfId="0" applyFont="1" applyNumberFormat="1">
      <alignment vertical="center" wrapText="1"/>
    </xf>
    <xf numFmtId="0" fontId="23" fillId="37" borderId="14" xfId="0" applyFont="1" applyFill="1" applyBorder="1" applyNumberFormat="1">
      <alignment horizontal="center" vertical="center" wrapText="1"/>
    </xf>
    <xf numFmtId="0" fontId="0" fillId="0" borderId="14" xfId="0" applyFont="1" applyBorder="1" applyNumberFormat="1">
      <alignment horizontal="left" vertical="top"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0" borderId="21" xfId="0" applyFont="1" applyBorder="1" applyNumberFormat="1">
      <alignment vertical="center" wrapText="1"/>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49" fontId="23" fillId="0" borderId="0" xfId="0" applyFont="1" applyNumberFormat="1">
      <alignment vertical="center" wrapText="1"/>
    </xf>
    <xf numFmtId="0" fontId="88"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0" borderId="14" xfId="0" applyFont="1" applyBorder="1" applyNumberFormat="1">
      <alignment horizontal="center" vertical="center" wrapText="1"/>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40" fillId="49" borderId="0" xfId="0" applyFont="1" applyFill="1" applyNumberFormat="1">
      <alignment horizontal="center" vertical="center"/>
    </xf>
    <xf numFmtId="49" fontId="23" fillId="0" borderId="14" xfId="0" applyFont="1" applyBorder="1" applyNumberFormat="1">
      <alignment horizontal="center" vertical="top"/>
    </xf>
    <xf numFmtId="49" fontId="54" fillId="49" borderId="0" xfId="0" applyFont="1" applyFill="1" applyNumberFormat="1">
      <alignment horizontal="center" vertical="center" wrapText="1"/>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23" fillId="0" borderId="16" xfId="0" applyFont="1" applyBorder="1" applyNumberFormat="1">
      <alignment horizontal="left" vertical="center"/>
    </xf>
    <xf numFmtId="49" fontId="23" fillId="0" borderId="46" xfId="0" applyFont="1" applyBorder="1" applyNumberFormat="1">
      <alignment vertical="center"/>
    </xf>
    <xf numFmtId="49" fontId="23" fillId="0" borderId="47" xfId="0" applyFont="1" applyBorder="1" applyNumberFormat="1">
      <alignment vertical="top"/>
    </xf>
    <xf numFmtId="49" fontId="23" fillId="0" borderId="18"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0" fontId="0" fillId="50" borderId="0" xfId="0" applyFont="1" applyFill="1" applyNumberFormat="1">
      <alignment horizontal="right" vertical="center"/>
    </xf>
    <xf numFmtId="49" fontId="40" fillId="0" borderId="0" xfId="0" applyFont="1" applyNumberFormat="1">
      <alignment horizontal="center" vertical="center"/>
    </xf>
    <xf numFmtId="49" fontId="0" fillId="0" borderId="0" xfId="0" applyFont="1" applyNumberFormat="1">
      <alignment vertical="top"/>
    </xf>
    <xf numFmtId="49" fontId="40" fillId="49" borderId="0" xfId="0" applyFont="1" applyFill="1" applyNumberFormat="1">
      <alignment horizontal="center" vertical="center"/>
    </xf>
    <xf numFmtId="0" fontId="23" fillId="0" borderId="0" xfId="0" applyFont="1" applyNumberFormat="1">
      <alignment vertical="center"/>
    </xf>
    <xf numFmtId="0" fontId="0" fillId="50"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6" xfId="0" applyFont="1" applyBorder="1" applyNumberFormat="1">
      <alignment vertical="top"/>
    </xf>
    <xf numFmtId="0" fontId="0" fillId="50" borderId="0" xfId="0" applyFont="1" applyFill="1" applyNumberFormat="1">
      <alignment horizontal="right" vertical="center"/>
    </xf>
    <xf numFmtId="0" fontId="0" fillId="0" borderId="0" xfId="0" applyFont="1" applyNumberFormat="1">
      <alignment horizontal="left" vertical="center"/>
    </xf>
    <xf numFmtId="0" fontId="0" fillId="50" borderId="0" xfId="0" applyFont="1" applyFill="1" applyNumberFormat="1">
      <alignment horizontal="right" vertical="center"/>
    </xf>
    <xf numFmtId="0" fontId="0" fillId="50" borderId="0" xfId="0" applyFont="1" applyFill="1" applyNumberFormat="1">
      <alignment horizontal="left" vertical="center"/>
    </xf>
    <xf numFmtId="0" fontId="59" fillId="50"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9" fillId="0" borderId="0" xfId="0" applyFont="1" applyNumberFormat="1">
      <alignment horizontal="left" vertical="center"/>
    </xf>
    <xf numFmtId="49" fontId="0" fillId="0" borderId="16" xfId="0" applyFont="1" applyBorder="1" applyNumberFormat="1">
      <alignment vertical="top"/>
    </xf>
    <xf numFmtId="49" fontId="23" fillId="0" borderId="14" xfId="0" applyFont="1" applyBorder="1" applyNumberFormat="1">
      <alignment horizontal="right" vertical="top"/>
    </xf>
    <xf numFmtId="0" fontId="0" fillId="0" borderId="16" xfId="0" applyFont="1" applyBorder="1" applyNumberFormat="1">
      <alignment horizontal="left" vertical="center"/>
    </xf>
    <xf numFmtId="0" fontId="59" fillId="50" borderId="0" xfId="0" applyFont="1" applyFill="1" applyNumberFormat="1">
      <alignment horizontal="left" vertical="center"/>
    </xf>
    <xf numFmtId="49" fontId="23" fillId="0" borderId="19" xfId="0" applyFont="1" applyBorder="1" applyNumberFormat="1">
      <alignment horizontal="righ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14" xfId="0" applyFont="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0" fontId="23" fillId="50" borderId="0" xfId="0" applyFont="1" applyFill="1" applyNumberFormat="1">
      <alignment horizontal="left" vertical="center"/>
    </xf>
    <xf numFmtId="0" fontId="0" fillId="50" borderId="12" xfId="0" applyFont="1" applyFill="1" applyBorder="1" applyNumberFormat="1">
      <alignment horizontal="center"/>
    </xf>
    <xf numFmtId="49" fontId="109" fillId="0" borderId="18" xfId="0" applyFont="1" applyBorder="1" applyNumberFormat="1">
      <alignment vertical="top"/>
    </xf>
    <xf numFmtId="49" fontId="0" fillId="0" borderId="0" xfId="0" applyFont="1" applyNumberFormat="1">
      <alignment vertical="center"/>
    </xf>
    <xf numFmtId="49" fontId="53" fillId="56" borderId="0" xfId="0" applyFont="1" applyFill="1" applyNumberFormat="1">
      <alignment vertical="center" wrapText="1"/>
    </xf>
    <xf numFmtId="0" fontId="0" fillId="0" borderId="12" xfId="0" applyFont="1" applyBorder="1" applyNumberFormat="1">
      <alignment horizontal="center"/>
    </xf>
    <xf numFmtId="49" fontId="23" fillId="50" borderId="0" xfId="0" applyFont="1" applyFill="1" applyNumberFormat="1">
      <alignment horizontal="center" vertical="center"/>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0" fontId="0" fillId="34" borderId="14" xfId="0" applyFont="1" applyFill="1" applyBorder="1" applyNumberFormat="1">
      <alignment horizontal="right" vertical="center"/>
    </xf>
    <xf numFmtId="49" fontId="23" fillId="34" borderId="25" xfId="0" applyFont="1" applyFill="1" applyBorder="1" applyNumberFormat="1">
      <alignment vertical="top"/>
    </xf>
    <xf numFmtId="49" fontId="23" fillId="34" borderId="14" xfId="0" applyFont="1" applyFill="1" applyBorder="1" applyNumberFormat="1">
      <alignment vertical="top"/>
    </xf>
    <xf numFmtId="49" fontId="23" fillId="0" borderId="16" xfId="0" applyFont="1" applyBorder="1" applyNumberFormat="1">
      <alignment horizontal="center" vertical="top"/>
    </xf>
    <xf numFmtId="49" fontId="23" fillId="0" borderId="15" xfId="0" applyFont="1" applyBorder="1" applyNumberFormat="1">
      <alignment horizontal="center" vertical="top"/>
    </xf>
    <xf numFmtId="0" fontId="23" fillId="38" borderId="32" xfId="0" applyFont="1" applyFill="1" applyBorder="1" applyNumberFormat="1">
      <alignment horizontal="center" vertical="top"/>
    </xf>
    <xf numFmtId="0" fontId="23" fillId="38" borderId="32" xfId="0" applyFont="1" applyFill="1" applyBorder="1" applyNumberFormat="1">
      <alignment horizontal="left" vertical="top"/>
    </xf>
    <xf numFmtId="0" fontId="0" fillId="0" borderId="34" xfId="0" applyFont="1" applyBorder="1" applyNumberFormat="1">
      <alignment horizontal="center" vertical="center"/>
    </xf>
    <xf numFmtId="0" fontId="0" fillId="0" borderId="36" xfId="0" applyFont="1" applyBorder="1" applyNumberFormat="1">
      <alignment horizontal="center" vertical="center"/>
    </xf>
    <xf numFmtId="0" fontId="23" fillId="0" borderId="14" xfId="0" applyFont="1" applyBorder="1" applyNumberFormat="1">
      <alignment horizontal="left" vertical="top"/>
    </xf>
    <xf numFmtId="49" fontId="23" fillId="0" borderId="0" xfId="0" applyFont="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49" fontId="40" fillId="49" borderId="16" xfId="0" applyFont="1" applyFill="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50"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0" fontId="23" fillId="42" borderId="14" xfId="0" applyFont="1" applyFill="1" applyBorder="1" applyNumberFormat="1">
      <alignment horizontal="center" vertical="center" wrapText="1"/>
      <protection locked="0"/>
    </xf>
    <xf numFmtId="0" fontId="54" fillId="37" borderId="0" xfId="0" applyFont="1" applyFill="1" applyNumberFormat="1"/>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8" borderId="14" xfId="0" applyFont="1" applyFill="1" applyBorder="1" applyNumberFormat="1">
      <alignment horizontal="left" vertical="center" wrapText="1"/>
    </xf>
    <xf numFmtId="0" fontId="73" fillId="37" borderId="0" xfId="0" applyFont="1" applyFill="1" applyNumberFormat="1"/>
    <xf numFmtId="0" fontId="23" fillId="37" borderId="14" xfId="0" applyFont="1" applyFill="1" applyBorder="1" applyNumberFormat="1">
      <alignment horizontal="left"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0" fontId="55"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0" fillId="37" borderId="19" xfId="0" applyFont="1" applyFill="1" applyBorder="1" applyNumberFormat="1">
      <alignment horizontal="left" vertical="top" wrapText="1"/>
    </xf>
    <xf numFmtId="0" fontId="72" fillId="37" borderId="0" xfId="0" applyFont="1" applyFill="1" applyNumberFormat="1"/>
    <xf numFmtId="0" fontId="77" fillId="37" borderId="0" xfId="0" applyFont="1" applyFill="1" applyNumberFormat="1">
      <alignment vertical="center" wrapText="1"/>
    </xf>
    <xf numFmtId="0" fontId="55" fillId="37" borderId="14" xfId="0" applyFont="1" applyFill="1" applyBorder="1" applyNumberFormat="1">
      <alignment horizontal="center" vertical="center"/>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0" fontId="89" fillId="37" borderId="0" xfId="0" applyFont="1" applyFill="1" applyNumberFormat="1"/>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0" fontId="23" fillId="37" borderId="14" xfId="0" applyFont="1" applyFill="1" applyBorder="1" applyNumberFormat="1">
      <alignmen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14" fontId="23" fillId="42" borderId="14" xfId="0" applyFont="1" applyFill="1" applyBorder="1" applyNumberFormat="1">
      <alignment horizontal="left" vertical="center" wrapText="1" indent="1"/>
      <protection locked="0"/>
    </xf>
    <xf numFmtId="0" fontId="117" fillId="0" borderId="0" xfId="0" applyFont="1" applyNumberFormat="1">
      <alignment vertical="center"/>
    </xf>
    <xf numFmtId="0" fontId="45" fillId="0" borderId="0" xfId="0" applyFont="1" applyNumberFormat="1">
      <alignment horizontal="center" vertical="center" wrapText="1"/>
    </xf>
    <xf numFmtId="4" fontId="23" fillId="0" borderId="19" xfId="0" applyFont="1" applyBorder="1" applyNumberFormat="1">
      <alignment horizontal="center" vertical="center" wrapText="1"/>
    </xf>
    <xf numFmtId="165" fontId="23" fillId="0" borderId="39" xfId="0" applyFont="1" applyBorder="1" applyNumberFormat="1">
      <alignment horizontal="center" vertical="center" wrapText="1"/>
    </xf>
    <xf numFmtId="165"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14" fontId="23" fillId="43" borderId="14" xfId="0" applyFont="1" applyFill="1" applyBorder="1" applyNumberFormat="1">
      <alignment horizontal="left"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31" xfId="0" applyFont="1" applyFill="1" applyBorder="1" applyNumberFormat="1">
      <alignment horizontal="right" vertical="center" wrapText="1"/>
    </xf>
    <xf numFmtId="0" fontId="117" fillId="0" borderId="0" xfId="0" applyFont="1" applyNumberFormat="1">
      <alignment vertical="center" wrapText="1"/>
    </xf>
    <xf numFmtId="49" fontId="0" fillId="0" borderId="0" xfId="0" applyFont="1" applyNumberFormat="1">
      <alignment vertical="top"/>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38" borderId="14" xfId="0" applyFont="1" applyFill="1" applyBorder="1" applyNumberFormat="1">
      <alignment horizontal="left" vertical="center" wrapText="1" indent="1"/>
    </xf>
    <xf numFmtId="167" fontId="0" fillId="42" borderId="17" xfId="0" applyFont="1" applyFill="1" applyBorder="1" applyNumberFormat="1">
      <alignment horizontal="left" vertical="center" wrapText="1" indent="1"/>
      <protection locked="0"/>
    </xf>
    <xf numFmtId="168" fontId="23" fillId="42" borderId="14" xfId="0" applyFont="1" applyFill="1" applyBorder="1" applyNumberFormat="1">
      <alignment horizontal="left" vertical="center" wrapText="1" indent="1"/>
      <protection locked="0"/>
    </xf>
    <xf numFmtId="167" fontId="55" fillId="0" borderId="0" xfId="0" applyFont="1" applyNumberFormat="1">
      <alignment horizontal="center" vertical="center" wrapText="1"/>
    </xf>
    <xf numFmtId="165" fontId="23" fillId="0" borderId="19"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 fontId="23" fillId="0" borderId="38"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25"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25" xfId="0" applyFont="1" applyFill="1" applyBorder="1" applyNumberFormat="1">
      <alignment horizontal="left" vertical="center" wrapText="1" indent="1"/>
    </xf>
    <xf numFmtId="14" fontId="23" fillId="42" borderId="25" xfId="0" applyFont="1" applyFill="1" applyBorder="1" applyNumberFormat="1">
      <alignment horizontal="left" vertical="center" wrapText="1" indent="1"/>
      <protection locked="0"/>
    </xf>
    <xf numFmtId="0" fontId="23" fillId="0" borderId="31" xfId="0" applyFont="1" applyBorder="1" applyNumberFormat="1">
      <alignment horizontal="lef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5" fontId="23" fillId="0" borderId="25" xfId="0" applyFont="1" applyBorder="1" applyNumberFormat="1">
      <alignment horizontal="center" vertical="center" wrapText="1"/>
    </xf>
    <xf numFmtId="0" fontId="23" fillId="0" borderId="25" xfId="0" applyFont="1" applyBorder="1" applyNumberFormat="1">
      <alignment horizontal="left" vertical="center" wrapText="1" indent="1"/>
    </xf>
    <xf numFmtId="14" fontId="23" fillId="0" borderId="25" xfId="0" applyFont="1" applyBorder="1" applyNumberFormat="1">
      <alignment horizontal="left" vertical="center" wrapText="1" indent="1"/>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34" fillId="40" borderId="29" xfId="0" applyFont="1" applyFill="1" applyBorder="1" applyNumberFormat="1">
      <alignment horizontal="left" vertical="center" wrapText="1"/>
    </xf>
    <xf numFmtId="49" fontId="34" fillId="40" borderId="31" xfId="0" applyFont="1" applyFill="1" applyBorder="1" applyNumberFormat="1">
      <alignment horizontal="left" vertical="center" wrapText="1"/>
    </xf>
    <xf numFmtId="0" fontId="23" fillId="37" borderId="38" xfId="0" applyFont="1" applyFill="1" applyBorder="1" applyNumberFormat="1">
      <alignment vertical="center" wrapText="1"/>
    </xf>
    <xf numFmtId="0" fontId="55" fillId="0" borderId="0" xfId="0" applyFont="1" applyNumberFormat="1">
      <alignment horizontal="center"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14"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7" xfId="0" applyFont="1" applyBorder="1" applyNumberFormat="1">
      <alignment horizontal="left" vertical="center" wrapText="1"/>
    </xf>
    <xf numFmtId="0" fontId="50" fillId="0" borderId="0" xfId="0" applyFont="1" applyNumberFormat="1">
      <alignment horizontal="center" vertical="center" wrapText="1"/>
    </xf>
    <xf numFmtId="0" fontId="23" fillId="0" borderId="0" xfId="0" applyFont="1" applyNumberFormat="1">
      <alignment horizontal="center" vertical="center" wrapText="1"/>
    </xf>
    <xf numFmtId="165" fontId="53" fillId="0" borderId="21" xfId="0" applyFont="1" applyBorder="1" applyNumberFormat="1">
      <alignment horizontal="center"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0" fontId="55" fillId="0" borderId="0" xfId="0" applyFont="1" applyNumberFormat="1">
      <alignment horizontal="center" vertical="center"/>
    </xf>
    <xf numFmtId="165" fontId="23" fillId="0" borderId="14" xfId="0" applyFont="1" applyBorder="1" applyNumberFormat="1">
      <alignment horizontal="center"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43" borderId="32" xfId="0" applyFont="1" applyFill="1" applyBorder="1" applyNumberFormat="1">
      <alignment horizontal="left" vertical="center" wrapText="1"/>
    </xf>
    <xf numFmtId="0" fontId="23" fillId="0" borderId="25" xfId="0" applyFont="1" applyBorder="1" applyNumberFormat="1">
      <alignment horizontal="center" vertical="center" wrapText="1"/>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23" fillId="0" borderId="14" xfId="0" applyFont="1" applyBorder="1" applyNumberFormat="1">
      <alignment horizontal="left" vertical="top" wrapText="1"/>
    </xf>
    <xf numFmtId="49" fontId="23" fillId="43" borderId="25" xfId="0" applyFont="1" applyFill="1" applyBorder="1" applyNumberFormat="1">
      <alignment horizontal="left" vertical="center" wrapText="1"/>
    </xf>
    <xf numFmtId="49" fontId="129" fillId="0" borderId="14" xfId="0" applyFont="1" applyBorder="1" applyNumberFormat="1">
      <alignment horizontal="left" vertical="top"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37" borderId="0" xfId="0" applyFont="1" applyFill="1" applyNumberFormat="1"/>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0" fontId="51" fillId="37" borderId="0" xfId="0" applyFont="1" applyFill="1" applyNumberFormat="1">
      <alignment horizontal="center" vertical="center" wrapText="1"/>
    </xf>
    <xf numFmtId="0" fontId="40" fillId="37" borderId="0" xfId="0" applyFont="1" applyFill="1" applyNumberFormat="1"/>
    <xf numFmtId="0" fontId="23" fillId="37" borderId="14" xfId="0" applyFont="1" applyFill="1" applyBorder="1" applyNumberFormat="1">
      <alignment horizontal="center" vertical="center" wrapTex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8" fillId="40" borderId="17" xfId="0" applyFont="1" applyFill="1" applyBorder="1" applyNumberFormat="1">
      <alignment horizontal="left" vertical="center"/>
    </xf>
    <xf numFmtId="49" fontId="52" fillId="40" borderId="17" xfId="0" applyFont="1" applyFill="1" applyBorder="1" applyNumberFormat="1">
      <alignment horizontal="center" vertical="top"/>
    </xf>
    <xf numFmtId="49" fontId="23" fillId="0" borderId="0" xfId="0" applyFont="1" applyNumberFormat="1">
      <alignment horizontal="left" vertical="top" wrapText="1"/>
    </xf>
    <xf numFmtId="0" fontId="45" fillId="37" borderId="0" xfId="0" applyFont="1" applyFill="1" applyNumberFormat="1">
      <alignment horizontal="center" vertical="center"/>
    </xf>
    <xf numFmtId="0" fontId="23" fillId="37" borderId="0" xfId="0" applyFont="1" applyFill="1" applyNumberFormat="1"/>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0" fontId="69" fillId="0" borderId="0" xfId="0" applyFont="1" applyNumberFormat="1"/>
    <xf numFmtId="0" fontId="23" fillId="0" borderId="14" xfId="0" applyFont="1" applyBorder="1" applyNumberFormat="1">
      <alignment horizontal="center" vertical="center" wrapText="1"/>
    </xf>
    <xf numFmtId="0" fontId="23" fillId="37" borderId="19" xfId="0" applyFont="1" applyFill="1" applyBorder="1" applyNumberFormat="1">
      <alignment horizontal="center" vertical="center"/>
    </xf>
    <xf numFmtId="49" fontId="23" fillId="0" borderId="19" xfId="0" applyFont="1" applyBorder="1" applyNumberFormat="1">
      <alignment horizontal="left"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49" fontId="53" fillId="0" borderId="0" xfId="0" applyFont="1" applyNumberFormat="1">
      <alignment horizontal="right" vertical="top"/>
    </xf>
    <xf numFmtId="49" fontId="23" fillId="0" borderId="0" xfId="0" applyFont="1" applyNumberFormat="1">
      <alignment horizontal="left" vertical="top" wrapText="1"/>
    </xf>
    <xf numFmtId="49" fontId="53" fillId="0" borderId="0" xfId="0" applyFont="1" applyNumberFormat="1">
      <alignment vertical="top"/>
    </xf>
    <xf numFmtId="0" fontId="23" fillId="0" borderId="0" xfId="0" applyFont="1" applyNumberFormat="1"/>
    <xf numFmtId="0" fontId="45" fillId="0" borderId="0" xfId="0" applyFont="1" applyNumberFormat="1">
      <alignment horizontal="center" vertical="center"/>
    </xf>
    <xf numFmtId="0" fontId="23" fillId="0" borderId="0" xfId="0" applyFont="1" applyNumberFormat="1"/>
    <xf numFmtId="49" fontId="23" fillId="0" borderId="14" xfId="0" applyFont="1" applyBorder="1" applyNumberFormat="1">
      <alignment horizontal="left" vertical="center" wrapText="1"/>
    </xf>
    <xf numFmtId="49" fontId="48" fillId="40" borderId="15" xfId="0" applyFont="1" applyFill="1" applyBorder="1" applyNumberFormat="1">
      <alignment horizontal="left" vertical="center"/>
    </xf>
    <xf numFmtId="49" fontId="0" fillId="0" borderId="17" xfId="0" applyFont="1" applyBorder="1" applyNumberFormat="1">
      <alignment horizontal="left" vertical="center" indent="1"/>
    </xf>
    <xf numFmtId="49" fontId="70" fillId="0" borderId="0" xfId="0" applyFont="1" applyNumberFormat="1">
      <alignment vertical="top"/>
    </xf>
    <xf numFmtId="49" fontId="0" fillId="0" borderId="27" xfId="0" applyFont="1" applyBorder="1" applyNumberFormat="1">
      <alignment horizontal="center" vertical="center"/>
    </xf>
    <xf numFmtId="49" fontId="0" fillId="0" borderId="0" xfId="0" applyFont="1" applyNumberFormat="1">
      <alignment vertical="top"/>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49" fontId="23" fillId="39" borderId="14" xfId="0" applyFont="1" applyFill="1" applyBorder="1" applyNumberFormat="1">
      <alignment horizontal="left" vertical="center" wrapText="1"/>
      <protection locked="0"/>
    </xf>
    <xf numFmtId="0" fontId="50"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14" fontId="23" fillId="43" borderId="14" xfId="0" applyFont="1" applyFill="1" applyBorder="1" applyNumberFormat="1">
      <alignment horizontal="left" vertical="center" wrapText="1" indent="1"/>
    </xf>
    <xf numFmtId="49" fontId="23" fillId="38" borderId="14" xfId="0" applyFont="1" applyFill="1" applyBorder="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0" fillId="0" borderId="0" xfId="0" applyFont="1" applyNumberFormat="1">
      <alignment vertical="center"/>
    </xf>
    <xf numFmtId="0" fontId="44" fillId="0" borderId="26" xfId="0" applyFont="1" applyBorder="1" applyNumberFormat="1">
      <alignment horizontal="center" vertical="center" wrapText="1"/>
    </xf>
    <xf numFmtId="14" fontId="86" fillId="0" borderId="19" xfId="0" applyFont="1" applyBorder="1" applyNumberFormat="1">
      <alignment horizontal="center" vertical="center" wrapText="1"/>
    </xf>
    <xf numFmtId="0" fontId="80" fillId="0" borderId="14" xfId="0" applyFont="1" applyBorder="1" applyNumberFormat="1">
      <alignment horizontal="left" vertical="center" wrapText="1" indent="1"/>
    </xf>
    <xf numFmtId="0" fontId="86"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0" fontId="79" fillId="0" borderId="0" xfId="0" applyFont="1" applyNumberFormat="1">
      <alignment vertical="center"/>
    </xf>
    <xf numFmtId="14" fontId="86" fillId="0" borderId="38" xfId="0" applyFont="1" applyBorder="1" applyNumberFormat="1">
      <alignment horizontal="center" vertical="center" wrapText="1"/>
    </xf>
    <xf numFmtId="0" fontId="80" fillId="0" borderId="14" xfId="0" applyFont="1" applyBorder="1" applyNumberFormat="1">
      <alignment horizontal="left" vertical="top" indent="1"/>
    </xf>
    <xf numFmtId="49" fontId="0" fillId="0" borderId="14" xfId="0" applyFont="1" applyBorder="1" applyNumberFormat="1">
      <alignment vertical="top"/>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44" fillId="0" borderId="14" xfId="0" applyFont="1" applyBorder="1" applyNumberFormat="1">
      <alignment horizontal="center" vertical="center" wrapText="1"/>
    </xf>
    <xf numFmtId="49" fontId="23" fillId="0" borderId="15"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3" borderId="16" xfId="0" applyFont="1" applyFill="1" applyBorder="1" applyNumberFormat="1">
      <alignment horizontal="left" vertical="center" wrapText="1"/>
    </xf>
    <xf numFmtId="49" fontId="0" fillId="0" borderId="14" xfId="0" applyFont="1" applyBorder="1" applyNumberFormat="1">
      <alignment vertical="top"/>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0" borderId="0" xfId="0" applyFont="1" applyNumberFormat="1">
      <alignment vertical="top"/>
    </xf>
    <xf numFmtId="0" fontId="45" fillId="37" borderId="0" xfId="0" applyFont="1" applyFill="1" applyNumberFormat="1">
      <alignment vertical="top" wrapText="1"/>
    </xf>
    <xf numFmtId="0" fontId="23" fillId="37" borderId="16" xfId="0" applyFont="1" applyFill="1" applyBorder="1" applyNumberFormat="1">
      <alignment horizontal="center" vertical="center" wrapText="1"/>
    </xf>
    <xf numFmtId="0" fontId="55" fillId="37" borderId="14" xfId="0" applyFont="1" applyFill="1" applyBorder="1" applyNumberFormat="1">
      <alignment horizontal="center" vertical="center" wrapText="1"/>
    </xf>
    <xf numFmtId="14" fontId="23" fillId="43" borderId="31" xfId="0" applyFont="1" applyFill="1" applyBorder="1" applyNumberFormat="1">
      <alignment horizontal="left" vertical="center" wrapText="1"/>
    </xf>
    <xf numFmtId="49" fontId="127" fillId="42" borderId="14" xfId="0" applyFont="1" applyFill="1" applyBorder="1" applyNumberFormat="1">
      <alignment horizontal="left" vertical="center" wrapText="1"/>
      <protection locked="0"/>
    </xf>
    <xf numFmtId="49" fontId="0" fillId="0" borderId="14" xfId="0" applyFont="1" applyBorder="1" applyNumberFormat="1">
      <alignment horizontal="center" vertical="center" wrapText="1"/>
    </xf>
    <xf numFmtId="0" fontId="23" fillId="43" borderId="16" xfId="0" applyFont="1" applyFill="1" applyBorder="1" applyNumberFormat="1">
      <alignment horizontal="left" vertical="center" wrapText="1"/>
    </xf>
    <xf numFmtId="0" fontId="0" fillId="0" borderId="25" xfId="0" applyFont="1" applyBorder="1" applyNumberFormat="1">
      <alignment horizontal="center" vertical="center" wrapText="1"/>
    </xf>
    <xf numFmtId="49" fontId="4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49"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45" fillId="0" borderId="26" xfId="0" applyFont="1" applyBorder="1" applyNumberFormat="1">
      <alignment horizontal="center" vertical="center" wrapTex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2" borderId="14" xfId="0" applyFont="1" applyFill="1" applyBorder="1" applyNumberFormat="1">
      <alignment horizontal="left" vertical="top" wrapText="1"/>
      <protection locked="0"/>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0" fontId="23" fillId="39" borderId="14" xfId="0" applyFont="1" applyFill="1" applyBorder="1" applyNumberFormat="1">
      <alignment horizontal="left" vertical="top" wrapText="1"/>
      <protection locked="0"/>
    </xf>
    <xf numFmtId="49" fontId="23" fillId="43" borderId="14" xfId="0" applyFont="1" applyFill="1" applyBorder="1" applyNumberFormat="1">
      <alignment horizontal="center" vertical="top" wrapText="1"/>
    </xf>
    <xf numFmtId="0" fontId="23" fillId="0" borderId="38" xfId="0" applyFont="1" applyBorder="1" applyNumberFormat="1">
      <alignment horizontal="center" vertical="center" wrapText="1"/>
    </xf>
    <xf numFmtId="0" fontId="23"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1"/>
      <protection locked="0"/>
    </xf>
    <xf numFmtId="0" fontId="23" fillId="0" borderId="26" xfId="0" applyFont="1" applyBorder="1" applyNumberFormat="1">
      <alignment vertical="top" wrapText="1"/>
    </xf>
    <xf numFmtId="49" fontId="23" fillId="43" borderId="25" xfId="0" applyFont="1" applyFill="1" applyBorder="1" applyNumberFormat="1">
      <alignment horizontal="center" vertical="top" wrapText="1"/>
    </xf>
    <xf numFmtId="49" fontId="0" fillId="42"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6" xfId="0" applyFont="1" applyFill="1" applyBorder="1" applyNumberFormat="1">
      <alignment horizontal="center" vertical="top" wrapText="1"/>
    </xf>
    <xf numFmtId="49" fontId="23" fillId="0" borderId="38" xfId="0" applyFont="1" applyBorder="1" applyNumberFormat="1">
      <alignment horizontal="center" vertical="top" wrapText="1"/>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0" borderId="40" xfId="0" applyFont="1" applyBorder="1" applyNumberFormat="1">
      <alignment vertical="center" wrapText="1"/>
    </xf>
    <xf numFmtId="49" fontId="23" fillId="38" borderId="14" xfId="0" applyFont="1" applyFill="1" applyBorder="1" applyNumberFormat="1">
      <alignment horizontal="center" vertical="center" wrapText="1"/>
    </xf>
    <xf numFmtId="49" fontId="23" fillId="0" borderId="15" xfId="0" applyFont="1" applyBorder="1" applyNumberFormat="1">
      <alignment horizontal="center" vertical="center" wrapText="1"/>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23" fillId="43" borderId="16" xfId="0" applyFont="1" applyFill="1" applyBorder="1" applyNumberFormat="1">
      <alignment horizontal="center" vertical="center" wrapText="1"/>
    </xf>
    <xf numFmtId="49" fontId="110" fillId="40" borderId="45" xfId="0" applyFont="1" applyFill="1" applyBorder="1" applyNumberFormat="1">
      <alignment horizontal="left" vertical="center" indent="1"/>
    </xf>
    <xf numFmtId="49" fontId="99" fillId="40" borderId="45" xfId="0" applyFont="1" applyFill="1" applyBorder="1" applyNumberFormat="1">
      <alignment horizontal="center" vertical="center"/>
    </xf>
    <xf numFmtId="3" fontId="23" fillId="42" borderId="14" xfId="0" applyFont="1" applyFill="1" applyBorder="1" applyNumberFormat="1">
      <alignment horizontal="center" vertical="center" wrapText="1"/>
      <protection locked="0"/>
    </xf>
    <xf numFmtId="49" fontId="128" fillId="0" borderId="15" xfId="0" applyFont="1" applyBorder="1" applyNumberFormat="1">
      <alignment horizontal="center" vertical="center" wrapText="1"/>
    </xf>
    <xf numFmtId="0" fontId="53" fillId="0" borderId="14" xfId="0" applyFont="1" applyBorder="1" applyNumberFormat="1">
      <alignment horizontal="center" vertical="center"/>
    </xf>
    <xf numFmtId="49" fontId="23" fillId="43" borderId="19"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23" fillId="43" borderId="38" xfId="0" applyFont="1" applyFill="1" applyBorder="1" applyNumberFormat="1">
      <alignment horizontal="left" vertical="center" wrapText="1" indent="1"/>
    </xf>
    <xf numFmtId="49" fontId="23" fillId="38" borderId="14" xfId="0" applyFont="1" applyFill="1" applyBorder="1" applyNumberFormat="1">
      <alignment horizontal="left" vertical="center" wrapText="1"/>
    </xf>
    <xf numFmtId="49" fontId="128" fillId="0" borderId="0" xfId="0" applyFont="1" applyNumberFormat="1">
      <alignment horizontal="center" vertical="top" wrapText="1"/>
    </xf>
    <xf numFmtId="0" fontId="53" fillId="0" borderId="14" xfId="0" applyFont="1" applyBorder="1" applyNumberFormat="1">
      <alignment horizontal="center" vertical="center"/>
    </xf>
    <xf numFmtId="0" fontId="53" fillId="43" borderId="14" xfId="0" applyFont="1" applyFill="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43" borderId="25" xfId="0" applyFont="1" applyFill="1" applyBorder="1" applyNumberFormat="1">
      <alignment horizontal="left" vertical="center" wrapText="1" indent="1"/>
    </xf>
    <xf numFmtId="49" fontId="48" fillId="40" borderId="17" xfId="0" applyFont="1" applyFill="1" applyBorder="1" applyNumberFormat="1">
      <alignment horizontal="left" vertical="center" inden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49" fontId="23" fillId="38" borderId="77" xfId="0" applyFont="1" applyFill="1" applyBorder="1" applyNumberFormat="1">
      <alignment horizontal="center" vertical="center" wrapText="1"/>
    </xf>
    <xf numFmtId="0" fontId="0" fillId="40" borderId="52" xfId="0" applyFont="1" applyFill="1" applyBorder="1" applyNumberFormat="1">
      <alignment horizontal="left" vertical="center"/>
    </xf>
    <xf numFmtId="49" fontId="48" fillId="40" borderId="53" xfId="0" applyFont="1" applyFill="1" applyBorder="1" applyNumberFormat="1">
      <alignment horizontal="left" vertical="center" inden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0" fontId="23" fillId="40" borderId="55" xfId="0" applyFont="1" applyFill="1" applyBorder="1" applyNumberFormat="1">
      <alignment vertical="center" wrapText="1"/>
    </xf>
    <xf numFmtId="49" fontId="0" fillId="38" borderId="38" xfId="0" applyFont="1" applyFill="1" applyBorder="1" applyNumberFormat="1">
      <alignment vertical="top"/>
    </xf>
    <xf numFmtId="49" fontId="0" fillId="0" borderId="38" xfId="0" applyFont="1" applyBorder="1" applyNumberFormat="1">
      <alignment vertical="top"/>
    </xf>
    <xf numFmtId="49" fontId="23" fillId="43" borderId="19" xfId="0" applyFont="1" applyFill="1" applyBorder="1" applyNumberFormat="1">
      <alignment vertical="center" wrapText="1"/>
    </xf>
    <xf numFmtId="49" fontId="0" fillId="42" borderId="38" xfId="0" applyFont="1" applyFill="1" applyBorder="1" applyNumberFormat="1">
      <alignment vertical="top"/>
      <protection locked="0"/>
    </xf>
    <xf numFmtId="49" fontId="128" fillId="0" borderId="14" xfId="0" applyFont="1" applyBorder="1" applyNumberFormat="1">
      <alignment horizontal="center" vertical="center" wrapText="1"/>
    </xf>
    <xf numFmtId="49" fontId="0" fillId="42" borderId="19" xfId="0" applyFont="1" applyFill="1" applyBorder="1" applyNumberFormat="1">
      <alignment vertical="top"/>
      <protection locked="0"/>
    </xf>
    <xf numFmtId="14" fontId="23" fillId="43" borderId="38" xfId="0" applyFont="1" applyFill="1" applyBorder="1" applyNumberFormat="1">
      <alignment horizontal="left" vertical="center" wrapText="1" inden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0" fontId="53" fillId="0" borderId="15" xfId="0" applyFont="1" applyBorder="1" applyNumberFormat="1">
      <alignment horizontal="center" vertical="center"/>
    </xf>
    <xf numFmtId="0" fontId="108" fillId="0" borderId="49" xfId="0" applyFont="1" applyBorder="1" applyNumberFormat="1">
      <alignment horizontal="left" vertical="center" indent="1"/>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49" fontId="0" fillId="0" borderId="0" xfId="0" applyFont="1" applyNumberFormat="1">
      <alignment vertical="top"/>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39" borderId="14" xfId="0" applyFont="1" applyFill="1" applyBorder="1" applyNumberFormat="1">
      <alignment horizontal="left" vertical="center"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48" fillId="0" borderId="14" xfId="0" applyFont="1" applyBorder="1" applyNumberFormat="1">
      <alignment horizontal="left" vertical="center" indent="1"/>
    </xf>
    <xf numFmtId="0" fontId="54" fillId="0" borderId="0" xfId="0" applyFont="1" applyNumberFormat="1">
      <alignment horizontal="center" vertical="top"/>
    </xf>
    <xf numFmtId="49" fontId="23" fillId="0" borderId="25" xfId="0" applyFont="1" applyBorder="1" applyNumberFormat="1">
      <alignment horizontal="center" vertical="center" wrapText="1"/>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49" fontId="55" fillId="0" borderId="15" xfId="0" applyFont="1" applyBorder="1" applyNumberFormat="1">
      <alignment horizontal="left" vertical="center" indent="1"/>
    </xf>
    <xf numFmtId="0" fontId="55" fillId="0" borderId="14" xfId="0" applyFont="1" applyBorder="1" applyNumberFormat="1">
      <alignment horizontal="left" vertical="center" indent="1"/>
    </xf>
    <xf numFmtId="49" fontId="0" fillId="0" borderId="21" xfId="0" applyFont="1" applyBorder="1" applyNumberFormat="1">
      <alignment vertical="top"/>
    </xf>
    <xf numFmtId="49" fontId="45" fillId="0" borderId="19"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0" fillId="0" borderId="15" xfId="0" applyFont="1" applyBorder="1" applyNumberFormat="1">
      <alignment horizontal="center" vertical="center" wrapText="1"/>
    </xf>
    <xf numFmtId="0" fontId="0" fillId="0" borderId="14" xfId="0" applyFont="1" applyBorder="1" applyNumberFormat="1">
      <alignment horizontal="left" vertical="center" wrapText="1"/>
    </xf>
    <xf numFmtId="49" fontId="0" fillId="0" borderId="14" xfId="0" applyFont="1" applyBorder="1" applyNumberFormat="1">
      <alignment horizontal="center" vertical="center"/>
    </xf>
    <xf numFmtId="0" fontId="0" fillId="0" borderId="14" xfId="0" applyFont="1" applyBorder="1" applyNumberFormat="1">
      <alignment horizontal="center" vertical="center" wrapText="1"/>
    </xf>
    <xf numFmtId="4" fontId="0" fillId="38" borderId="14" xfId="0" applyFont="1" applyFill="1" applyBorder="1" applyNumberFormat="1">
      <alignment horizontal="right" vertical="center" wrapText="1"/>
    </xf>
    <xf numFmtId="49" fontId="23" fillId="0" borderId="38" xfId="0" applyFont="1" applyBorder="1" applyNumberFormat="1">
      <alignment horizontal="center" vertical="top"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2" borderId="14" xfId="0" applyFont="1" applyFill="1" applyBorder="1" applyNumberFormat="1">
      <alignment horizontal="left" vertical="center" wrapText="1"/>
      <protection locked="0"/>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23" fillId="0" borderId="25" xfId="0" applyFont="1" applyBorder="1" applyNumberFormat="1">
      <alignment horizontal="center" vertical="top" wrapText="1"/>
    </xf>
    <xf numFmtId="49" fontId="23" fillId="42" borderId="14" xfId="0" applyFont="1" applyFill="1" applyBorder="1" applyNumberFormat="1">
      <alignment horizontal="left" vertical="center" wrapText="1" indent="1"/>
      <protection locked="0"/>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5" fillId="0" borderId="0" xfId="0" applyFont="1" applyNumberFormat="1">
      <alignment horizontal="center" vertical="center" wrapText="1"/>
    </xf>
    <xf numFmtId="0" fontId="0" fillId="0" borderId="14" xfId="0" applyFont="1" applyBorder="1" applyNumberFormat="1">
      <alignment horizontal="center" vertical="center"/>
    </xf>
    <xf numFmtId="0" fontId="23" fillId="43" borderId="14" xfId="0" applyFont="1" applyFill="1" applyBorder="1" applyNumberFormat="1">
      <alignment horizontal="left" vertical="top" wrapText="1"/>
    </xf>
    <xf numFmtId="49" fontId="23" fillId="39" borderId="14" xfId="0" applyFont="1" applyFill="1" applyBorder="1" applyNumberFormat="1">
      <alignment horizontal="left" vertical="center" wrapText="1"/>
      <protection locked="0"/>
    </xf>
    <xf numFmtId="0" fontId="0" fillId="43" borderId="14"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23"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0" fillId="0" borderId="14" xfId="0" applyFont="1" applyBorder="1" applyNumberFormat="1">
      <alignment vertical="top"/>
    </xf>
    <xf numFmtId="49" fontId="0" fillId="0" borderId="14" xfId="0" applyFont="1" applyBorder="1" applyNumberFormat="1">
      <alignment horizontal="left" vertical="top"/>
    </xf>
    <xf numFmtId="49" fontId="0" fillId="43" borderId="14" xfId="0" applyFont="1" applyFill="1" applyBorder="1" applyNumberFormat="1">
      <alignment horizontal="left" vertical="top"/>
    </xf>
    <xf numFmtId="49" fontId="0" fillId="39" borderId="14" xfId="0" applyFont="1" applyFill="1" applyBorder="1" applyNumberFormat="1">
      <alignment horizontal="left" vertical="top"/>
      <protection locked="0"/>
    </xf>
    <xf numFmtId="49" fontId="0" fillId="43" borderId="14" xfId="0" applyFont="1" applyFill="1" applyBorder="1" applyNumberFormat="1">
      <alignment horizontal="left" vertical="center" wrapText="1"/>
      <protection locked="0"/>
    </xf>
    <xf numFmtId="0" fontId="0" fillId="40" borderId="17" xfId="0" applyFont="1" applyFill="1" applyBorder="1" applyNumberFormat="1">
      <alignment vertical="center"/>
    </xf>
    <xf numFmtId="49" fontId="0" fillId="0" borderId="38" xfId="0" applyFont="1" applyBorder="1" applyNumberFormat="1">
      <alignment horizontal="left" vertical="top"/>
    </xf>
    <xf numFmtId="0" fontId="23" fillId="43" borderId="38" xfId="0" applyFont="1" applyFill="1" applyBorder="1" applyNumberFormat="1">
      <alignment horizontal="center" vertical="top" wrapText="1"/>
    </xf>
    <xf numFmtId="49" fontId="0" fillId="43" borderId="38"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23" fillId="43" borderId="0" xfId="0" applyFont="1" applyFill="1" applyNumberFormat="1">
      <alignment horizontal="center" vertical="center" wrapText="1"/>
    </xf>
    <xf numFmtId="0" fontId="48" fillId="0" borderId="38" xfId="0" applyFont="1" applyBorder="1" applyNumberFormat="1">
      <alignment horizontal="left" vertical="center"/>
    </xf>
    <xf numFmtId="49" fontId="0" fillId="43" borderId="38" xfId="0" applyFont="1" applyFill="1" applyBorder="1" applyNumberFormat="1">
      <alignment horizontal="left" vertical="center" wrapText="1"/>
      <protection locked="0"/>
    </xf>
    <xf numFmtId="49" fontId="23" fillId="43" borderId="38" xfId="0" applyFont="1" applyFill="1" applyBorder="1" applyNumberFormat="1">
      <alignment horizontal="center" vertical="center" wrapText="1"/>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0" fontId="48" fillId="40" borderId="31" xfId="0" applyFont="1" applyFill="1" applyBorder="1" applyNumberFormat="1">
      <alignment horizontal="left" vertical="center"/>
    </xf>
    <xf numFmtId="49" fontId="0" fillId="0" borderId="0" xfId="0" applyFont="1" applyNumberFormat="1">
      <alignment vertical="top"/>
    </xf>
    <xf numFmtId="49" fontId="0" fillId="39" borderId="38" xfId="0" applyFont="1" applyFill="1" applyBorder="1" applyNumberFormat="1">
      <alignment vertical="top"/>
      <protection locked="0"/>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0" fillId="0" borderId="24"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9" xfId="0" applyFont="1" applyBorder="1" applyNumberFormat="1">
      <alignment vertical="center"/>
    </xf>
    <xf numFmtId="49" fontId="23" fillId="0" borderId="38" xfId="0" applyFont="1" applyBorder="1" applyNumberFormat="1">
      <alignment horizontal="center" vertical="center"/>
    </xf>
    <xf numFmtId="49" fontId="23" fillId="0" borderId="38" xfId="0" applyFont="1" applyBorder="1" applyNumberFormat="1">
      <alignment vertical="center" wrapText="1"/>
    </xf>
    <xf numFmtId="0" fontId="23" fillId="0" borderId="26" xfId="0" applyFont="1" applyBorder="1" applyNumberFormat="1">
      <alignment horizontal="center" vertical="center"/>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45" fillId="0" borderId="38" xfId="0" applyFont="1" applyBorder="1" applyNumberFormat="1">
      <alignment vertical="center" wrapText="1"/>
    </xf>
    <xf numFmtId="0" fontId="23" fillId="43" borderId="19" xfId="0" applyFont="1" applyFill="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horizontal="left" vertical="center" wrapText="1"/>
    </xf>
    <xf numFmtId="0"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vertical="center" wrapText="1"/>
    </xf>
    <xf numFmtId="0" fontId="23" fillId="0" borderId="38" xfId="0" applyFont="1" applyBorder="1" applyNumberFormat="1">
      <alignment horizontal="left" vertical="center" wrapText="1"/>
    </xf>
    <xf numFmtId="49" fontId="23" fillId="0" borderId="38" xfId="0" applyFont="1" applyBorder="1" applyNumberFormat="1">
      <alignment horizontal="left" vertical="center" wrapText="1"/>
    </xf>
    <xf numFmtId="0" fontId="23" fillId="43" borderId="38" xfId="0" applyFont="1" applyFill="1" applyBorder="1" applyNumberFormat="1">
      <alignment horizontal="left" vertical="center" wrapText="1"/>
    </xf>
    <xf numFmtId="49" fontId="23" fillId="0" borderId="38" xfId="0" applyFont="1" applyBorder="1" applyNumberFormat="1">
      <alignment horizontal="center"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23" fillId="0" borderId="38" xfId="0" applyFont="1" applyBorder="1" applyNumberFormat="1">
      <alignment horizontal="center" vertical="center" wrapText="1"/>
    </xf>
    <xf numFmtId="0" fontId="48" fillId="40" borderId="39"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45" fillId="0" borderId="38" xfId="0" applyFont="1" applyBorder="1" applyNumberFormat="1">
      <alignment horizontal="center" vertical="center" wrapText="1"/>
    </xf>
    <xf numFmtId="0" fontId="48" fillId="40" borderId="39" xfId="0" applyFont="1" applyFill="1" applyBorder="1" applyNumberFormat="1">
      <alignment vertical="center"/>
    </xf>
    <xf numFmtId="0" fontId="48" fillId="0" borderId="38" xfId="0" applyFont="1" applyBorder="1" applyNumberFormat="1">
      <alignment horizontal="left" vertical="center"/>
    </xf>
    <xf numFmtId="49" fontId="23" fillId="39" borderId="19" xfId="0" applyFont="1" applyFill="1" applyBorder="1" applyNumberFormat="1">
      <alignment horizontal="left" vertical="center" wrapText="1"/>
      <protection locked="0"/>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0" borderId="21" xfId="0" applyFont="1" applyBorder="1" applyNumberFormat="1">
      <alignment horizontal="lef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49" fontId="100" fillId="0" borderId="14" xfId="0" applyFont="1" applyBorder="1" applyNumberFormat="1">
      <alignment vertical="top" wrapText="1"/>
    </xf>
    <xf numFmtId="49" fontId="96" fillId="0" borderId="14" xfId="0" applyFont="1" applyBorder="1" applyNumberFormat="1">
      <alignment horizontal="center" vertical="top" wrapText="1"/>
    </xf>
    <xf numFmtId="49" fontId="96" fillId="34" borderId="14" xfId="0" applyFont="1" applyFill="1" applyBorder="1" applyNumberFormat="1">
      <alignment horizontal="center" vertical="top"/>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0" fontId="100" fillId="0" borderId="14" xfId="0" applyFont="1" applyBorder="1" applyNumberFormat="1">
      <alignment vertical="top" wrapText="1"/>
    </xf>
    <xf numFmtId="49" fontId="100" fillId="0" borderId="0" xfId="0" applyFont="1" applyNumberFormat="1">
      <alignment vertical="top" wrapText="1"/>
    </xf>
    <xf numFmtId="49" fontId="100" fillId="0" borderId="0" xfId="0" applyFont="1" applyNumberFormat="1">
      <alignment vertical="top"/>
    </xf>
    <xf numFmtId="49" fontId="100" fillId="0" borderId="0" xfId="0" applyFont="1" applyNumberFormat="1">
      <alignment horizontal="center" vertical="top" wrapText="1"/>
    </xf>
    <xf numFmtId="49" fontId="100" fillId="0" borderId="14" xfId="0" applyFont="1" applyBorder="1" applyNumberFormat="1">
      <alignment horizontal="center" vertical="top" wrapText="1"/>
    </xf>
    <xf numFmtId="49" fontId="100" fillId="0" borderId="14" xfId="0" applyFont="1" applyBorder="1" applyNumberFormat="1">
      <alignment horizontal="center" vertical="top" wrapText="1"/>
    </xf>
    <xf numFmtId="49" fontId="100" fillId="34" borderId="14" xfId="0" applyFont="1" applyFill="1" applyBorder="1" applyNumberFormat="1">
      <alignment horizontal="center" vertical="top" wrapText="1"/>
    </xf>
    <xf numFmtId="49" fontId="96" fillId="34" borderId="14" xfId="0" applyFont="1" applyFill="1" applyBorder="1" applyNumberFormat="1">
      <alignment horizontal="center" vertical="top" wrapText="1"/>
    </xf>
    <xf numFmtId="49" fontId="100" fillId="0" borderId="14" xfId="0" applyFont="1" applyBorder="1" applyNumberFormat="1">
      <alignment horizontal="left" vertical="top" wrapText="1"/>
    </xf>
    <xf numFmtId="0" fontId="96" fillId="34" borderId="14" xfId="0" applyFont="1" applyFill="1" applyBorder="1" applyNumberFormat="1">
      <alignment horizontal="center" vertical="top" wrapText="1"/>
    </xf>
    <xf numFmtId="0" fontId="100" fillId="34" borderId="14" xfId="0" applyFont="1" applyFill="1" applyBorder="1" applyNumberFormat="1">
      <alignment horizontal="right" vertical="center"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0" fontId="100" fillId="0" borderId="14" xfId="0" applyFont="1" applyBorder="1" applyNumberFormat="1">
      <alignment horizontal="left" vertical="top" wrapText="1"/>
    </xf>
    <xf numFmtId="49" fontId="100" fillId="34" borderId="14" xfId="0" applyFont="1" applyFill="1" applyBorder="1" applyNumberFormat="1">
      <alignment horizontal="left" vertical="top" wrapText="1"/>
    </xf>
    <xf numFmtId="0" fontId="100" fillId="34" borderId="14" xfId="0" applyFont="1" applyFill="1" applyBorder="1" applyNumberFormat="1">
      <alignment horizontal="center" vertical="center" wrapText="1"/>
    </xf>
    <xf numFmtId="0" fontId="100" fillId="34" borderId="14" xfId="0" applyFont="1" applyFill="1" applyBorder="1" applyNumberFormat="1">
      <alignment horizontal="center" vertical="center"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19" xfId="0" applyFont="1" applyBorder="1" applyNumberFormat="1">
      <alignment horizontal="center" vertical="top" wrapText="1"/>
    </xf>
    <xf numFmtId="0" fontId="100" fillId="0" borderId="19" xfId="0" applyFont="1" applyBorder="1" applyNumberFormat="1">
      <alignment horizontal="left" vertical="top" wrapText="1"/>
    </xf>
    <xf numFmtId="49" fontId="100" fillId="0" borderId="39" xfId="0" applyFont="1" applyBorder="1" applyNumberFormat="1">
      <alignment horizontal="center" vertical="top" wrapText="1"/>
    </xf>
    <xf numFmtId="49" fontId="100" fillId="0" borderId="39" xfId="0" applyFont="1" applyBorder="1" applyNumberFormat="1">
      <alignment horizontal="center" vertical="top" wrapText="1"/>
    </xf>
    <xf numFmtId="0" fontId="100" fillId="0" borderId="15" xfId="0" applyFont="1" applyBorder="1" applyNumberFormat="1">
      <alignment horizontal="left" vertical="top" wrapText="1"/>
    </xf>
    <xf numFmtId="49" fontId="100" fillId="0" borderId="25"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24" xfId="0" applyFont="1" applyBorder="1" applyNumberFormat="1">
      <alignment horizontal="center" vertical="top" wrapText="1"/>
    </xf>
    <xf numFmtId="0" fontId="100" fillId="0" borderId="19" xfId="0" applyFont="1" applyBorder="1" applyNumberFormat="1">
      <alignment vertical="top" wrapText="1"/>
    </xf>
    <xf numFmtId="49" fontId="96" fillId="0" borderId="14" xfId="0" applyFont="1" applyBorder="1" applyNumberFormat="1">
      <alignment horizontal="left" vertical="top" wrapText="1"/>
    </xf>
    <xf numFmtId="0" fontId="96" fillId="0" borderId="16" xfId="0" applyFont="1" applyBorder="1" applyNumberFormat="1">
      <alignment horizontal="center" vertical="center" wrapText="1"/>
    </xf>
    <xf numFmtId="0" fontId="96" fillId="0" borderId="16" xfId="0" applyFont="1" applyBorder="1" applyNumberFormat="1">
      <alignment horizontal="center" vertical="center"/>
    </xf>
    <xf numFmtId="49" fontId="96" fillId="0" borderId="14" xfId="0" applyFont="1" applyBorder="1" applyNumberFormat="1">
      <alignment horizontal="center" vertical="center" wrapText="1"/>
    </xf>
    <xf numFmtId="0" fontId="96" fillId="0" borderId="14" xfId="0" applyFont="1" applyBorder="1" applyNumberFormat="1">
      <alignment vertical="center" wrapText="1"/>
    </xf>
    <xf numFmtId="49" fontId="100" fillId="0" borderId="16" xfId="0" applyFont="1" applyBorder="1" applyNumberFormat="1">
      <alignment horizontal="left" vertical="top" wrapText="1"/>
    </xf>
    <xf numFmtId="0" fontId="96" fillId="0" borderId="14" xfId="0" applyFont="1" applyBorder="1" applyNumberFormat="1">
      <alignment horizontal="center"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100" fillId="0" borderId="32" xfId="0" applyFont="1" applyBorder="1" applyNumberFormat="1">
      <alignment horizontal="left" vertical="top" wrapText="1"/>
    </xf>
    <xf numFmtId="49" fontId="100" fillId="0" borderId="15" xfId="0" applyFont="1" applyBorder="1" applyNumberFormat="1">
      <alignment horizontal="left" vertical="top"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38" xfId="0" applyFont="1" applyBorder="1" applyNumberFormat="1">
      <alignment horizontal="left" vertical="top" wrapText="1"/>
    </xf>
    <xf numFmtId="0" fontId="100" fillId="0" borderId="38" xfId="0" applyFont="1" applyBorder="1" applyNumberFormat="1">
      <alignment horizontal="left" vertical="top" wrapText="1"/>
    </xf>
    <xf numFmtId="49" fontId="100" fillId="0" borderId="0" xfId="0" applyFont="1" applyNumberFormat="1">
      <alignment horizontal="left" vertical="top" wrapText="1"/>
    </xf>
    <xf numFmtId="49" fontId="100" fillId="34" borderId="0" xfId="0" applyFont="1" applyFill="1" applyNumberFormat="1">
      <alignment horizontal="left" vertical="top" wrapText="1"/>
    </xf>
    <xf numFmtId="0" fontId="100" fillId="0" borderId="0" xfId="0" applyFont="1" applyNumberFormat="1">
      <alignment vertical="top"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0" fillId="0" borderId="0" xfId="0" applyFont="1" applyNumberFormat="1">
      <alignment horizontal="left" vertical="center"/>
    </xf>
    <xf numFmtId="0" fontId="0" fillId="37" borderId="14" xfId="0" applyFont="1" applyFill="1" applyBorder="1" applyNumberFormat="1">
      <alignment horizontal="right" vertical="center" wrapText="1" indent="1"/>
    </xf>
    <xf numFmtId="0" fontId="0" fillId="0" borderId="16"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indent="6"/>
      <protection locked="0"/>
    </xf>
    <xf numFmtId="167" fontId="0" fillId="42" borderId="14" xfId="0" applyFont="1" applyFill="1" applyBorder="1" applyNumberFormat="1">
      <alignment horizontal="center" vertical="center" wrapText="1"/>
      <protection locked="0"/>
    </xf>
    <xf numFmtId="49" fontId="23" fillId="0" borderId="14" xfId="0" applyFont="1" applyBorder="1" applyNumberFormat="1">
      <alignment horizontal="left" vertical="center" wrapText="1"/>
    </xf>
    <xf numFmtId="49" fontId="106" fillId="40" borderId="16" xfId="0" applyFont="1" applyFill="1" applyBorder="1" applyNumberFormat="1">
      <alignment horizontal="left" vertical="center"/>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54" fillId="0" borderId="0" xfId="0" applyFont="1" applyNumberFormat="1">
      <alignment horizontal="left" vertical="center"/>
    </xf>
    <xf numFmtId="49" fontId="40" fillId="0" borderId="0" xfId="0" applyFont="1" applyNumberFormat="1">
      <alignment vertical="top"/>
    </xf>
    <xf numFmtId="49" fontId="0" fillId="0" borderId="26" xfId="0" applyFont="1" applyBorder="1" applyNumberFormat="1">
      <alignment vertical="top"/>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54" fillId="0" borderId="0" xfId="0" applyFont="1" applyNumberFormat="1">
      <alignment horizontal="left" vertical="center"/>
    </xf>
    <xf numFmtId="49" fontId="54" fillId="0" borderId="0" xfId="0" applyFont="1" applyNumberFormat="1">
      <alignment horizontal="left" vertical="top"/>
    </xf>
    <xf numFmtId="49" fontId="72" fillId="40" borderId="16" xfId="0" applyFont="1" applyFill="1" applyBorder="1" applyNumberFormat="1">
      <alignment horizontal="left" vertical="top"/>
    </xf>
    <xf numFmtId="49" fontId="114" fillId="40" borderId="17" xfId="0" applyFont="1" applyFill="1" applyBorder="1" applyNumberFormat="1">
      <alignment horizontal="left" vertical="center"/>
    </xf>
    <xf numFmtId="49" fontId="55"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4" xfId="0" applyFont="1" applyBorder="1" applyNumberFormat="1">
      <alignment vertical="top"/>
    </xf>
    <xf numFmtId="49" fontId="0" fillId="0" borderId="16" xfId="0" applyFont="1" applyBorder="1" applyNumberFormat="1">
      <alignment vertical="top"/>
    </xf>
    <xf numFmtId="49" fontId="0" fillId="0" borderId="14" xfId="0" applyFont="1" applyBorder="1" applyNumberFormat="1">
      <alignment horizontal="center" vertical="top"/>
    </xf>
    <xf numFmtId="49" fontId="0" fillId="0" borderId="16" xfId="0" applyFont="1" applyBorder="1" applyNumberFormat="1">
      <alignment horizontal="center" vertical="top"/>
    </xf>
    <xf numFmtId="49" fontId="0" fillId="0" borderId="14" xfId="0" applyFont="1" applyBorder="1" applyNumberFormat="1">
      <alignment vertical="top"/>
    </xf>
    <xf numFmtId="49" fontId="0" fillId="45" borderId="19" xfId="0" applyFont="1" applyFill="1" applyBorder="1" applyNumberFormat="1">
      <alignment vertical="top"/>
    </xf>
    <xf numFmtId="49" fontId="0" fillId="0" borderId="16" xfId="0" applyFont="1" applyBorder="1" applyNumberFormat="1">
      <alignment horizontal="center" vertical="top"/>
    </xf>
    <xf numFmtId="49" fontId="0" fillId="46" borderId="14" xfId="0" applyFont="1" applyFill="1" applyBorder="1" applyNumberFormat="1">
      <alignment vertical="top"/>
    </xf>
    <xf numFmtId="49" fontId="0" fillId="0" borderId="17" xfId="0" applyFont="1" applyBorder="1" applyNumberFormat="1">
      <alignment horizontal="center" vertical="top"/>
    </xf>
    <xf numFmtId="49" fontId="0" fillId="3" borderId="14" xfId="0" applyFont="1" applyFill="1" applyBorder="1" applyNumberFormat="1">
      <alignment vertical="top"/>
    </xf>
    <xf numFmtId="49" fontId="0" fillId="47" borderId="14" xfId="0" applyFont="1" applyFill="1" applyBorder="1" applyNumberFormat="1">
      <alignment vertical="top"/>
    </xf>
    <xf numFmtId="49" fontId="0" fillId="16" borderId="19" xfId="0" applyFont="1" applyFill="1" applyBorder="1" applyNumberFormat="1">
      <alignment vertical="top"/>
    </xf>
    <xf numFmtId="49" fontId="0" fillId="5" borderId="16" xfId="0" applyFont="1" applyFill="1" applyBorder="1" applyNumberFormat="1">
      <alignment vertical="top"/>
    </xf>
    <xf numFmtId="49" fontId="0" fillId="5" borderId="14" xfId="0" applyFont="1" applyFill="1" applyBorder="1" applyNumberFormat="1">
      <alignment vertical="top"/>
    </xf>
    <xf numFmtId="49" fontId="0" fillId="16" borderId="14"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46" fillId="0" borderId="13" xfId="0" applyFont="1" applyBorder="1" applyNumberFormat="1">
      <alignment vertical="top" wrapText="1"/>
    </xf>
    <xf numFmtId="0" fontId="0" fillId="0" borderId="13" xfId="0" applyFont="1" applyBorder="1" applyNumberFormat="1">
      <alignment vertical="top" wrapText="1"/>
    </xf>
    <xf numFmtId="0" fontId="22" fillId="0" borderId="20" xfId="0" applyFont="1" applyBorder="1" applyNumberFormat="1">
      <alignment vertical="top" wrapText="1"/>
    </xf>
    <xf numFmtId="0" fontId="0" fillId="0" borderId="0" xfId="0" applyFont="1" applyNumberFormat="1">
      <alignment vertical="top"/>
    </xf>
    <xf numFmtId="0" fontId="0" fillId="0" borderId="14" xfId="0" applyFont="1" applyBorder="1" applyNumberFormat="1">
      <alignment vertical="top" wrapText="1"/>
    </xf>
    <xf numFmtId="49" fontId="0" fillId="0" borderId="14" xfId="0" applyFont="1" applyBorder="1" applyNumberFormat="1">
      <alignment vertical="top" wrapText="1"/>
    </xf>
    <xf numFmtId="49" fontId="0" fillId="0" borderId="19" xfId="0" applyFont="1" applyBorder="1" applyNumberFormat="1">
      <alignment vertical="top"/>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107" fillId="0" borderId="0" xfId="0" applyFont="1" applyNumberFormat="1">
      <alignment vertical="center" wrapText="1"/>
    </xf>
    <xf numFmtId="0" fontId="107" fillId="0" borderId="0" xfId="0" applyFont="1" applyNumberFormat="1">
      <alignment horizontal="left" vertical="center" wrapText="1"/>
    </xf>
    <xf numFmtId="49" fontId="122" fillId="0" borderId="0" xfId="0" applyFont="1" applyNumberFormat="1">
      <alignment wrapText="1"/>
    </xf>
    <xf numFmtId="0" fontId="107"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71" fillId="0" borderId="0" xfId="0" applyFont="1" applyNumberFormat="1">
      <alignment wrapText="1"/>
    </xf>
    <xf numFmtId="0" fontId="22" fillId="48" borderId="40" xfId="0" applyFont="1" applyFill="1" applyBorder="1" applyNumberFormat="1">
      <alignment horizontal="right" vertical="center" wrapText="1" indent="1"/>
    </xf>
    <xf numFmtId="0" fontId="22" fillId="48" borderId="67" xfId="0" applyFont="1" applyFill="1" applyBorder="1" applyNumberFormat="1">
      <alignment horizontal="right" vertical="center" wrapText="1" inden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0" xfId="0" applyFont="1" applyNumberFormat="1">
      <alignment vertical="center" wrapText="1"/>
    </xf>
    <xf numFmtId="0" fontId="0" fillId="55" borderId="63" xfId="0" applyFont="1" applyFill="1" applyBorder="1" applyNumberFormat="1">
      <alignment horizontal="center"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22" fillId="48" borderId="0" xfId="0" applyFont="1" applyFill="1" applyNumberFormat="1">
      <alignment horizontal="right" vertical="center" wrapText="1" inden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125" fillId="0" borderId="0" xfId="0" applyFont="1" applyNumberFormat="1"/>
    <xf numFmtId="0" fontId="125" fillId="0" borderId="40" xfId="0" applyFont="1" applyBorder="1" applyNumberFormat="1">
      <alignment wrapText="1"/>
    </xf>
    <xf numFmtId="0" fontId="125" fillId="0" borderId="0" xfId="0" applyFont="1" applyNumberFormat="1">
      <alignment vertical="top" wrapTex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49" fontId="71" fillId="0" borderId="0" xfId="0" applyFont="1" applyNumberFormat="1">
      <alignment vertical="top" wrapText="1"/>
    </xf>
    <xf numFmtId="0" fontId="38" fillId="0" borderId="0" xfId="0" applyFont="1" applyNumberFormat="1"/>
    <xf numFmtId="0" fontId="68" fillId="0" borderId="0" xfId="0" applyFont="1" applyNumberFormat="1">
      <alignment vertical="center" wrapText="1"/>
    </xf>
    <xf numFmtId="0" fontId="96" fillId="0" borderId="0" xfId="0" applyFont="1" applyNumberFormat="1">
      <alignment horizontal="left" vertical="center" wrapText="1"/>
    </xf>
    <xf numFmtId="0" fontId="68" fillId="0" borderId="0" xfId="0" applyFont="1" applyNumberFormat="1">
      <alignment horizontal="left" vertical="center" wrapText="1"/>
    </xf>
    <xf numFmtId="0" fontId="68" fillId="0" borderId="0" xfId="0" applyFont="1" applyNumberFormat="1">
      <alignment vertical="center" wrapText="1"/>
    </xf>
    <xf numFmtId="0" fontId="40" fillId="0" borderId="0" xfId="0" applyFont="1" applyNumberFormat="1">
      <alignment horizontal="center" vertical="center" wrapText="1"/>
    </xf>
    <xf numFmtId="0" fontId="40"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horizontal="left" vertical="center" wrapText="1"/>
    </xf>
    <xf numFmtId="0" fontId="23" fillId="0" borderId="0" xfId="0" applyFont="1" applyNumberFormat="1">
      <alignment horizontal="left" vertical="top" indent="1"/>
    </xf>
    <xf numFmtId="49" fontId="71" fillId="0" borderId="0" xfId="0" applyFont="1" applyNumberFormat="1">
      <alignment vertical="top"/>
    </xf>
    <xf numFmtId="49" fontId="23" fillId="0" borderId="0" xfId="0" applyFont="1" applyNumberFormat="1">
      <alignment vertical="center" wrapText="1"/>
    </xf>
    <xf numFmtId="49" fontId="54"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4" fillId="0" borderId="0" xfId="0" applyFont="1" applyNumberFormat="1">
      <alignment vertical="top"/>
    </xf>
    <xf numFmtId="49" fontId="0" fillId="0" borderId="0" xfId="0" applyFont="1" applyNumberFormat="1">
      <alignment vertical="top"/>
    </xf>
    <xf numFmtId="0" fontId="65" fillId="0" borderId="0" xfId="0" applyFont="1" applyNumberFormat="1">
      <alignment vertical="center" wrapText="1"/>
    </xf>
    <xf numFmtId="0" fontId="96" fillId="0" borderId="0" xfId="0" applyFont="1" applyNumberFormat="1">
      <alignment horizontal="lef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3" fillId="0" borderId="0" xfId="0" applyFont="1" applyNumberFormat="1">
      <alignment vertical="center" wrapText="1"/>
    </xf>
    <xf numFmtId="0" fontId="42" fillId="37" borderId="0" xfId="0" applyFont="1" applyFill="1" applyNumberFormat="1">
      <alignmen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36" fillId="37" borderId="0" xfId="0" applyFont="1" applyFill="1" applyNumberFormat="1">
      <alignment vertical="center" wrapText="1"/>
    </xf>
    <xf numFmtId="0" fontId="101"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23" fillId="37" borderId="28" xfId="0" applyFont="1" applyFill="1" applyBorder="1" applyNumberFormat="1">
      <alignment horizontal="right" vertical="center" wrapText="1" indent="1"/>
    </xf>
    <xf numFmtId="0" fontId="0" fillId="38" borderId="14" xfId="0" applyFont="1" applyFill="1" applyBorder="1" applyNumberFormat="1">
      <alignment horizontal="left" vertical="center" wrapText="1" indent="1"/>
    </xf>
    <xf numFmtId="14" fontId="96" fillId="37" borderId="0" xfId="0" applyFont="1" applyFill="1" applyNumberFormat="1">
      <alignment horizontal="left"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3" fillId="0" borderId="0" xfId="0" applyFont="1" applyNumberFormat="1">
      <alignment horizontal="center" vertical="center" wrapText="1"/>
    </xf>
    <xf numFmtId="0" fontId="23" fillId="0" borderId="0" xfId="0" applyFont="1" applyNumberFormat="1">
      <alignment vertical="center" wrapText="1"/>
    </xf>
    <xf numFmtId="0" fontId="41" fillId="0" borderId="0" xfId="0" applyFont="1" applyNumberFormat="1">
      <alignment vertical="center" wrapText="1"/>
    </xf>
    <xf numFmtId="0" fontId="42" fillId="37" borderId="0" xfId="0" applyFont="1" applyFill="1" applyNumberFormat="1">
      <alignment vertical="center" wrapText="1"/>
    </xf>
    <xf numFmtId="0" fontId="23" fillId="37" borderId="28" xfId="0" applyFont="1" applyFill="1" applyBorder="1" applyNumberFormat="1">
      <alignment horizontal="right" vertical="center" wrapText="1" indent="1"/>
    </xf>
    <xf numFmtId="0" fontId="23" fillId="42" borderId="14"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4"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14" fontId="98" fillId="0" borderId="14" xfId="0" applyFont="1" applyBorder="1" applyNumberFormat="1">
      <alignment horizontal="center" vertical="center" wrapText="1"/>
    </xf>
    <xf numFmtId="167" fontId="0" fillId="42" borderId="14"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8" fillId="0" borderId="14" xfId="0" applyFont="1" applyBorder="1" applyNumberFormat="1">
      <alignment horizontal="left" vertical="center" wrapText="1"/>
    </xf>
    <xf numFmtId="49" fontId="23" fillId="37" borderId="28" xfId="0" applyFont="1" applyFill="1" applyBorder="1" applyNumberFormat="1">
      <alignment horizontal="right" vertical="center" wrapText="1" indent="1"/>
    </xf>
    <xf numFmtId="167" fontId="0" fillId="42" borderId="14" xfId="0" applyFont="1" applyFill="1" applyBorder="1" applyNumberFormat="1">
      <alignment horizontal="left" vertical="center" wrapText="1" indent="1"/>
      <protection locked="0"/>
    </xf>
    <xf numFmtId="49" fontId="54" fillId="0" borderId="0" xfId="0" applyFont="1" applyNumberFormat="1">
      <alignment vertical="center" wrapText="1"/>
    </xf>
    <xf numFmtId="0" fontId="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167" fontId="0" fillId="42" borderId="14" xfId="0" applyFont="1" applyFill="1" applyBorder="1" applyNumberFormat="1">
      <alignment horizontal="left" vertical="center" wrapText="1" indent="1"/>
      <protection locked="0"/>
    </xf>
    <xf numFmtId="0" fontId="0" fillId="37" borderId="0" xfId="0" applyFont="1" applyFill="1" applyNumberFormat="1">
      <alignment horizontal="right" vertical="center" wrapText="1" indent="1"/>
    </xf>
    <xf numFmtId="0" fontId="101"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42" borderId="14" xfId="0" applyFont="1" applyFill="1" applyBorder="1" applyNumberFormat="1">
      <alignment horizontal="left" vertical="center" wrapText="1" indent="1"/>
      <protection locked="0"/>
    </xf>
    <xf numFmtId="49" fontId="13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49" fontId="130" fillId="42" borderId="14" xfId="0" applyFont="1" applyFill="1" applyBorder="1" applyNumberFormat="1">
      <alignment horizontal="left" vertical="center" wrapText="1" indent="1"/>
      <protection locked="0"/>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49" fontId="23" fillId="38" borderId="14"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8"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2" borderId="14" xfId="0" applyFont="1" applyFill="1" applyBorder="1" applyNumberFormat="1">
      <alignment horizontal="left" vertical="center" wrapText="1" indent="1"/>
      <protection locked="0"/>
    </xf>
    <xf numFmtId="0" fontId="23" fillId="42" borderId="14" xfId="0" applyFont="1" applyFill="1" applyBorder="1" applyNumberFormat="1">
      <alignment horizontal="left" vertical="center" wrapText="1" indent="1"/>
      <protection locked="0"/>
    </xf>
    <xf numFmtId="0" fontId="66" fillId="37" borderId="0" xfId="0" applyFont="1" applyFill="1" applyNumberFormat="1">
      <alignment horizontal="right" vertical="center" wrapText="1" indent="1"/>
    </xf>
    <xf numFmtId="0" fontId="66" fillId="37" borderId="0" xfId="0" applyFont="1" applyFill="1" applyNumberFormat="1">
      <alignment horizontal="left" vertical="center" wrapText="1" indent="1"/>
    </xf>
    <xf numFmtId="49" fontId="23" fillId="43" borderId="14" xfId="0" applyFont="1" applyFill="1" applyBorder="1" applyNumberFormat="1">
      <alignment horizontal="left" vertical="center" wrapText="1" inden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40" fillId="0" borderId="0" xfId="0" applyFont="1" applyNumberFormat="1">
      <alignment horizontal="left" vertical="center" wrapText="1"/>
    </xf>
    <xf numFmtId="49" fontId="32" fillId="0" borderId="14" xfId="0" applyFont="1" applyBorder="1" applyNumberFormat="1">
      <alignment horizontal="left" vertical="center" wrapText="1" indent="1"/>
    </xf>
    <xf numFmtId="0" fontId="40" fillId="0" borderId="0" xfId="0" applyFont="1" applyNumberFormat="1">
      <alignment horizontal="left" vertical="center" wrapText="1"/>
    </xf>
    <xf numFmtId="0" fontId="23" fillId="0" borderId="0" xfId="0" applyFont="1" applyNumberFormat="1">
      <alignment vertical="center" wrapText="1"/>
    </xf>
    <xf numFmtId="14" fontId="97" fillId="0" borderId="0" xfId="0" applyFont="1" applyNumberFormat="1">
      <alignment horizontal="center" vertical="center" wrapText="1"/>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88" fillId="0" borderId="0" xfId="0" applyFont="1" applyNumberFormat="1">
      <alignment vertical="center" wrapText="1"/>
    </xf>
    <xf numFmtId="0" fontId="23" fillId="43" borderId="14" xfId="0" applyFont="1" applyFill="1" applyBorder="1" applyNumberFormat="1">
      <alignment horizontal="left" vertical="center" wrapText="1" indent="1"/>
    </xf>
    <xf numFmtId="167" fontId="0" fillId="0" borderId="13" xfId="0" applyFont="1" applyBorder="1" applyNumberFormat="1">
      <alignment horizontal="left" vertical="center" wrapText="1" indent="1"/>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xf>
    <xf numFmtId="0" fontId="96" fillId="0" borderId="0" xfId="0" applyFont="1" applyNumberFormat="1">
      <alignment horizontal="left" vertical="center" wrapText="1"/>
    </xf>
    <xf numFmtId="49" fontId="40" fillId="0" borderId="0" xfId="0" applyFont="1" applyNumberFormat="1">
      <alignment horizontal="left" vertical="center" wrapText="1"/>
    </xf>
    <xf numFmtId="49" fontId="42"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2" borderId="14" xfId="0" applyFont="1" applyFill="1" applyBorder="1" applyNumberFormat="1">
      <alignment horizontal="left" vertical="center" wrapText="1" indent="1"/>
      <protection locked="0"/>
    </xf>
    <xf numFmtId="49" fontId="130" fillId="42" borderId="14"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6" fillId="0" borderId="0" xfId="0" applyFont="1" applyNumberFormat="1">
      <alignment horizontal="left" vertical="center" wrapText="1"/>
    </xf>
    <xf numFmtId="0" fontId="40" fillId="0" borderId="0" xfId="0" applyFont="1" applyNumberFormat="1">
      <alignment horizontal="left" vertical="center" wrapText="1"/>
    </xf>
    <xf numFmtId="0" fontId="41"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40" fillId="0" borderId="0" xfId="0" applyFont="1" applyNumberFormat="1">
      <alignment horizontal="center" vertical="center" wrapText="1"/>
    </xf>
    <xf numFmtId="0" fontId="54" fillId="0" borderId="0" xfId="0" applyFont="1" applyNumberFormat="1">
      <alignment vertical="center" wrapText="1"/>
    </xf>
    <xf numFmtId="0" fontId="55" fillId="0" borderId="0" xfId="0" applyFont="1" applyNumberFormat="1">
      <alignment vertical="center" wrapText="1"/>
    </xf>
    <xf numFmtId="0" fontId="77"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center" vertical="center" wrapText="1"/>
    </xf>
    <xf numFmtId="0" fontId="55" fillId="0" borderId="0" xfId="0" applyFont="1" applyNumberFormat="1">
      <alignment horizontal="left" vertical="center" wrapText="1" indent="1"/>
    </xf>
    <xf numFmtId="0" fontId="55" fillId="0" borderId="0" xfId="0" applyFont="1" applyNumberFormat="1">
      <alignment horizontal="left" vertical="center" indent="1"/>
    </xf>
    <xf numFmtId="0" fontId="61" fillId="0" borderId="0" xfId="0" applyFont="1" applyNumberFormat="1">
      <alignment vertical="center" wrapText="1"/>
    </xf>
    <xf numFmtId="0" fontId="23"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50"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17"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4" xfId="0" applyFont="1" applyBorder="1" applyNumberFormat="1">
      <alignment horizontal="center" vertical="center" wrapText="1"/>
    </xf>
    <xf numFmtId="0" fontId="44" fillId="0" borderId="0" xfId="0" applyFont="1" applyNumberFormat="1">
      <alignment horizontal="center" vertical="center" wrapText="1"/>
    </xf>
    <xf numFmtId="49" fontId="44" fillId="0" borderId="17" xfId="0" applyFont="1" applyBorder="1" applyNumberFormat="1">
      <alignment horizontal="center" vertical="center" wrapText="1"/>
    </xf>
    <xf numFmtId="49" fontId="44" fillId="0" borderId="17" xfId="0" applyFont="1" applyBorder="1" applyNumberFormat="1">
      <alignment horizontal="center"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49" fontId="23" fillId="40" borderId="21" xfId="0" applyFont="1" applyFill="1" applyBorder="1" applyNumberFormat="1">
      <alignment horizontal="center" vertical="center" wrapText="1"/>
    </xf>
    <xf numFmtId="49" fontId="54" fillId="40" borderId="21" xfId="0" applyFont="1" applyFill="1" applyBorder="1" applyNumberFormat="1">
      <alignment horizontal="left" vertical="center" wrapText="1"/>
    </xf>
    <xf numFmtId="49" fontId="54" fillId="40" borderId="22" xfId="0" applyFont="1" applyFill="1" applyBorder="1" applyNumberFormat="1">
      <alignment horizontal="left" vertical="center" wrapText="1"/>
    </xf>
    <xf numFmtId="0" fontId="55" fillId="0" borderId="24" xfId="0" applyFont="1" applyBorder="1" applyNumberFormat="1">
      <alignment vertical="center"/>
    </xf>
    <xf numFmtId="0" fontId="50" fillId="0" borderId="0" xfId="0" applyFont="1" applyNumberFormat="1">
      <alignment vertical="center" wrapText="1"/>
    </xf>
    <xf numFmtId="0" fontId="23" fillId="0" borderId="0" xfId="0" applyFont="1" applyNumberFormat="1">
      <alignment horizontal="center"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9" fontId="54" fillId="0" borderId="14" xfId="0" applyFont="1" applyBorder="1" applyNumberFormat="1">
      <alignment horizontal="left" vertical="center" wrapText="1"/>
    </xf>
    <xf numFmtId="0" fontId="55" fillId="0" borderId="0" xfId="0" applyFont="1" applyNumberFormat="1">
      <alignment vertical="center"/>
    </xf>
    <xf numFmtId="0" fontId="55" fillId="0" borderId="0" xfId="0" applyFont="1" applyNumberFormat="1">
      <alignment vertical="center"/>
    </xf>
    <xf numFmtId="49" fontId="0" fillId="0" borderId="0" xfId="0" applyFont="1" applyNumberFormat="1">
      <alignment vertical="top"/>
    </xf>
    <xf numFmtId="0" fontId="44" fillId="0" borderId="26" xfId="0" applyFont="1" applyBorder="1" applyNumberFormat="1">
      <alignment vertical="top" wrapText="1"/>
    </xf>
    <xf numFmtId="0" fontId="23" fillId="0" borderId="25" xfId="0" applyFont="1" applyBorder="1" applyNumberFormat="1">
      <alignment horizontal="center" vertical="center" wrapText="1"/>
    </xf>
    <xf numFmtId="0" fontId="55" fillId="0" borderId="25" xfId="0" applyFont="1" applyBorder="1" applyNumberFormat="1">
      <alignment horizontal="center" vertical="center" wrapText="1"/>
    </xf>
    <xf numFmtId="14" fontId="23" fillId="43" borderId="25" xfId="0" applyFont="1" applyFill="1" applyBorder="1" applyNumberFormat="1">
      <alignment horizontal="left" vertical="center" wrapText="1" indent="1"/>
    </xf>
    <xf numFmtId="49" fontId="23" fillId="38" borderId="25" xfId="0" applyFont="1" applyFill="1" applyBorder="1" applyNumberFormat="1">
      <alignment horizontal="center" vertical="center" wrapText="1"/>
    </xf>
    <xf numFmtId="0" fontId="79" fillId="0" borderId="0" xfId="0" applyFont="1" applyNumberFormat="1">
      <alignment vertical="center" wrapText="1"/>
    </xf>
    <xf numFmtId="49" fontId="54" fillId="0" borderId="0" xfId="0" applyFont="1" applyNumberFormat="1">
      <alignment vertical="top"/>
    </xf>
    <xf numFmtId="49" fontId="55" fillId="0" borderId="0" xfId="0" applyFont="1" applyNumberFormat="1">
      <alignment vertical="top"/>
    </xf>
    <xf numFmtId="0" fontId="0" fillId="0" borderId="0" xfId="0" applyFont="1" applyNumberFormat="1">
      <alignment vertical="center" wrapText="1"/>
    </xf>
    <xf numFmtId="0" fontId="44" fillId="0" borderId="0" xfId="0" applyFont="1" applyNumberFormat="1">
      <alignment vertical="top" wrapText="1"/>
    </xf>
    <xf numFmtId="49" fontId="36" fillId="40" borderId="16" xfId="0" applyFont="1" applyFill="1" applyBorder="1" applyNumberFormat="1">
      <alignment horizontal="right" vertical="center" wrapText="1"/>
    </xf>
    <xf numFmtId="49" fontId="36" fillId="40" borderId="17"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0" fillId="40" borderId="17" xfId="0" applyFont="1" applyFill="1" applyBorder="1" applyNumberFormat="1">
      <alignment horizontal="right" vertical="center" wrapText="1"/>
    </xf>
    <xf numFmtId="49" fontId="0" fillId="40" borderId="15" xfId="0" applyFont="1" applyFill="1" applyBorder="1" applyNumberFormat="1">
      <alignment horizontal="right"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xf>
    <xf numFmtId="0" fontId="55" fillId="0" borderId="0" xfId="0" applyFont="1" applyNumberFormat="1">
      <alignment vertical="center"/>
    </xf>
    <xf numFmtId="0" fontId="50" fillId="0" borderId="0" xfId="0" applyFont="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55" fillId="0" borderId="0" xfId="0" applyFont="1" applyNumberFormat="1">
      <alignment vertical="center" wrapText="1"/>
    </xf>
    <xf numFmtId="49" fontId="23" fillId="40" borderId="16"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48" fillId="40" borderId="17" xfId="0" applyFont="1" applyFill="1" applyBorder="1" applyNumberFormat="1">
      <alignment horizontal="left" vertical="center"/>
    </xf>
    <xf numFmtId="49" fontId="23" fillId="40" borderId="15" xfId="0" applyFont="1" applyFill="1" applyBorder="1" applyNumberFormat="1">
      <alignment horizontal="right" vertical="center" wrapText="1"/>
    </xf>
    <xf numFmtId="0" fontId="45" fillId="0" borderId="0" xfId="0" applyFont="1" applyNumberFormat="1">
      <alignment horizontal="center" vertical="center" wrapText="1"/>
    </xf>
    <xf numFmtId="0" fontId="23" fillId="0" borderId="23" xfId="0" applyFont="1" applyBorder="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99" fillId="0" borderId="0" xfId="0" applyFont="1" applyNumberFormat="1">
      <alignment vertical="center" wrapText="1"/>
    </xf>
    <xf numFmtId="0" fontId="57"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0" xfId="0" applyFont="1" applyNumberFormat="1">
      <alignment vertical="center"/>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54" fillId="0" borderId="0" xfId="0" applyFont="1" applyNumberFormat="1">
      <alignment vertical="center"/>
    </xf>
    <xf numFmtId="0" fontId="49" fillId="0" borderId="0" xfId="0" applyFont="1" applyNumberFormat="1">
      <alignment vertical="center"/>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49"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9" fillId="0" borderId="0" xfId="0" applyFont="1" applyNumberFormat="1">
      <alignment vertical="center"/>
    </xf>
    <xf numFmtId="0" fontId="23" fillId="44" borderId="0" xfId="0" applyFont="1" applyFill="1" applyNumberFormat="1">
      <alignment horizontal="center" vertical="center" wrapText="1"/>
    </xf>
    <xf numFmtId="0" fontId="23" fillId="0" borderId="0" xfId="0" applyFont="1" applyNumberFormat="1">
      <alignment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80" fillId="0" borderId="14" xfId="0" applyFont="1" applyBorder="1" applyNumberFormat="1">
      <alignment horizontal="center" vertical="center" wrapText="1"/>
    </xf>
    <xf numFmtId="0" fontId="23" fillId="0" borderId="0" xfId="0" applyFont="1" applyNumberFormat="1">
      <alignment horizontal="center" vertical="center" wrapText="1"/>
    </xf>
    <xf numFmtId="0" fontId="87"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54" fillId="0" borderId="24" xfId="0" applyFont="1" applyBorder="1" applyNumberFormat="1">
      <alignment vertical="center"/>
    </xf>
    <xf numFmtId="0" fontId="0" fillId="0" borderId="0" xfId="0" applyFont="1" applyNumberFormat="1">
      <alignment vertical="center"/>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54" fillId="0" borderId="24" xfId="0" applyFont="1" applyBorder="1" applyNumberFormat="1">
      <alignment vertical="center"/>
    </xf>
    <xf numFmtId="0" fontId="55"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43" xfId="0" applyFont="1" applyFill="1" applyBorder="1" applyNumberFormat="1">
      <alignment horizontal="center" vertical="center" wrapText="1"/>
    </xf>
    <xf numFmtId="49" fontId="0" fillId="40" borderId="17" xfId="0" applyFont="1" applyFill="1" applyBorder="1" applyNumberFormat="1">
      <alignment horizontal="left" vertical="center"/>
    </xf>
    <xf numFmtId="0" fontId="0" fillId="40" borderId="15"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24" xfId="0" applyFont="1" applyBorder="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1"/>
      <protection locked="0"/>
    </xf>
    <xf numFmtId="49" fontId="48" fillId="40" borderId="15" xfId="0" applyFont="1" applyFill="1" applyBorder="1" applyNumberFormat="1">
      <alignment horizontal="left" vertical="center" indent="1"/>
    </xf>
    <xf numFmtId="0" fontId="23" fillId="43" borderId="25" xfId="0" applyFont="1" applyFill="1" applyBorder="1" applyNumberFormat="1">
      <alignment horizontal="left" vertical="center" wrapText="1" indent="2"/>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8" fillId="40" borderId="17" xfId="0" applyFont="1" applyFill="1" applyBorder="1" applyNumberFormat="1">
      <alignment horizontal="left" vertical="center" indent="2"/>
    </xf>
    <xf numFmtId="0" fontId="0" fillId="0" borderId="0" xfId="0" applyFont="1" applyNumberFormat="1">
      <alignment vertical="center"/>
    </xf>
    <xf numFmtId="0" fontId="54"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49" fillId="0" borderId="0" xfId="0" applyFont="1" applyNumberFormat="1">
      <alignment vertical="center"/>
    </xf>
    <xf numFmtId="0" fontId="56" fillId="0" borderId="0" xfId="0" applyFont="1" applyNumberFormat="1">
      <alignment vertical="center"/>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69"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3" fillId="0" borderId="0" xfId="0" applyFont="1" applyNumberFormat="1">
      <alignment vertical="center"/>
    </xf>
    <xf numFmtId="0" fontId="23" fillId="0" borderId="29" xfId="0" applyFont="1" applyBorder="1" applyNumberFormat="1">
      <alignment horizontal="left" vertical="center" indent="1"/>
    </xf>
    <xf numFmtId="0" fontId="72" fillId="0" borderId="0" xfId="0" applyFont="1" applyNumberFormat="1">
      <alignment vertical="center"/>
    </xf>
    <xf numFmtId="0" fontId="55" fillId="0" borderId="0" xfId="0" applyFont="1" applyNumberFormat="1">
      <alignment vertical="center"/>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72"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9" fillId="0" borderId="0" xfId="0" applyFont="1" applyNumberFormat="1">
      <alignment vertical="center"/>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xf>
    <xf numFmtId="0" fontId="55" fillId="0" borderId="0" xfId="0" applyFont="1" applyNumberFormat="1">
      <alignment vertical="center"/>
    </xf>
    <xf numFmtId="49" fontId="55" fillId="37" borderId="0" xfId="0" applyFont="1" applyFill="1" applyNumberFormat="1">
      <alignment horizontal="center" vertical="center" wrapText="1"/>
    </xf>
    <xf numFmtId="49" fontId="55" fillId="37" borderId="29" xfId="0" applyFont="1" applyFill="1" applyBorder="1" applyNumberFormat="1">
      <alignment horizontal="center" vertical="center" wrapText="1"/>
    </xf>
    <xf numFmtId="0" fontId="45" fillId="0" borderId="0" xfId="0" applyFont="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4" xfId="0" applyFont="1" applyBorder="1" applyNumberFormat="1">
      <alignment horizontal="center" vertical="top"/>
    </xf>
    <xf numFmtId="0" fontId="23" fillId="0" borderId="14" xfId="0" applyFont="1" applyBorder="1" applyNumberFormat="1">
      <alignment horizontal="left" vertical="top" wrapText="1"/>
    </xf>
    <xf numFmtId="0" fontId="23" fillId="43" borderId="19"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22"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3" borderId="38" xfId="0" applyFont="1" applyFill="1" applyBorder="1" applyNumberFormat="1">
      <alignment horizontal="center" vertical="top" wrapText="1"/>
    </xf>
    <xf numFmtId="0" fontId="0" fillId="0" borderId="24"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horizontal="left" vertical="top"/>
    </xf>
    <xf numFmtId="0" fontId="23" fillId="43" borderId="25" xfId="0" applyFont="1" applyFill="1" applyBorder="1" applyNumberFormat="1">
      <alignment horizontal="center" vertical="top" wrapText="1"/>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9" xfId="0" applyFont="1" applyBorder="1" applyNumberFormat="1">
      <alignment horizontal="center" vertical="top"/>
    </xf>
    <xf numFmtId="0" fontId="23" fillId="0" borderId="19" xfId="0" applyFont="1" applyBorder="1" applyNumberFormat="1">
      <alignment horizontal="left" vertical="top" wrapText="1"/>
    </xf>
    <xf numFmtId="0" fontId="0" fillId="0" borderId="38" xfId="0" applyFont="1" applyBorder="1" applyNumberFormat="1">
      <alignment horizontal="center" vertical="top"/>
    </xf>
    <xf numFmtId="0" fontId="23" fillId="0" borderId="38" xfId="0" applyFont="1" applyBorder="1" applyNumberFormat="1">
      <alignment horizontal="left" vertical="top" wrapText="1"/>
    </xf>
    <xf numFmtId="0" fontId="0" fillId="0" borderId="25" xfId="0" applyFont="1" applyBorder="1" applyNumberFormat="1">
      <alignment horizontal="center" vertical="top"/>
    </xf>
    <xf numFmtId="0" fontId="23" fillId="0" borderId="25" xfId="0" applyFont="1" applyBorder="1" applyNumberFormat="1">
      <alignment horizontal="left" vertical="top"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43" borderId="14" xfId="0" applyFont="1" applyFill="1" applyBorder="1" applyNumberFormat="1">
      <alignment horizontal="left" vertical="top" wrapText="1"/>
    </xf>
    <xf numFmtId="0" fontId="0"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49" fontId="23" fillId="43" borderId="19"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0" fillId="43" borderId="14"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49" fontId="23" fillId="43" borderId="38" xfId="0" applyFont="1" applyFill="1" applyBorder="1" applyNumberFormat="1">
      <alignment horizontal="center"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0" fillId="0" borderId="14" xfId="0" applyFont="1" applyBorder="1" applyNumberFormat="1">
      <alignment vertical="top"/>
    </xf>
    <xf numFmtId="49" fontId="0" fillId="39" borderId="14" xfId="0" applyFont="1" applyFill="1" applyBorder="1" applyNumberFormat="1">
      <alignment horizontal="left" vertical="top"/>
      <protection locked="0"/>
    </xf>
    <xf numFmtId="49" fontId="0" fillId="43" borderId="14" xfId="0" applyFont="1" applyFill="1" applyBorder="1" applyNumberFormat="1">
      <alignment horizontal="left" vertical="center" wrapText="1"/>
      <protection locked="0"/>
    </xf>
    <xf numFmtId="49" fontId="23" fillId="43" borderId="25" xfId="0" applyFont="1" applyFill="1" applyBorder="1" applyNumberFormat="1">
      <alignment horizontal="center" vertical="center" wrapText="1"/>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31" xfId="0" applyFont="1" applyFill="1" applyBorder="1" applyNumberFormat="1">
      <alignment horizontal="left" vertical="center"/>
    </xf>
    <xf numFmtId="49" fontId="0" fillId="0" borderId="0" xfId="0" applyFont="1" applyNumberFormat="1">
      <alignment vertical="center"/>
    </xf>
    <xf numFmtId="0" fontId="0" fillId="0" borderId="0" xfId="0" applyFont="1" applyNumberFormat="1">
      <alignment vertical="center"/>
    </xf>
    <xf numFmtId="0" fontId="45" fillId="0" borderId="0" xfId="0" applyFont="1" applyNumberFormat="1">
      <alignment horizontal="center" vertical="center" wrapText="1"/>
    </xf>
    <xf numFmtId="49" fontId="0" fillId="0" borderId="38" xfId="0" applyFont="1" applyBorder="1" applyNumberFormat="1">
      <alignment vertical="top"/>
    </xf>
    <xf numFmtId="49" fontId="0" fillId="0" borderId="38" xfId="0" applyFont="1" applyBorder="1" applyNumberFormat="1">
      <alignment horizontal="left" vertical="top"/>
    </xf>
    <xf numFmtId="0" fontId="23" fillId="43" borderId="38" xfId="0" applyFont="1" applyFill="1" applyBorder="1" applyNumberFormat="1">
      <alignment horizontal="center" vertical="top" wrapText="1"/>
    </xf>
    <xf numFmtId="49" fontId="0" fillId="43" borderId="38" xfId="0" applyFont="1" applyFill="1" applyBorder="1" applyNumberFormat="1">
      <alignment horizontal="left" vertical="top"/>
    </xf>
    <xf numFmtId="49" fontId="0" fillId="39" borderId="38" xfId="0" applyFont="1" applyFill="1" applyBorder="1" applyNumberFormat="1">
      <alignment vertical="top"/>
      <protection locked="0"/>
    </xf>
    <xf numFmtId="0" fontId="0" fillId="43" borderId="14" xfId="0" applyFont="1" applyFill="1" applyBorder="1" applyNumberFormat="1">
      <alignment horizontal="left" vertical="center" wrapText="1"/>
      <protection locked="0"/>
    </xf>
    <xf numFmtId="49" fontId="23" fillId="43" borderId="19" xfId="0" applyFont="1" applyFill="1" applyBorder="1" applyNumberFormat="1">
      <alignment horizontal="center" vertical="center" wrapText="1"/>
    </xf>
    <xf numFmtId="49" fontId="0" fillId="37" borderId="14" xfId="0" applyFont="1" applyFill="1" applyBorder="1" applyNumberFormat="1">
      <alignment horizontal="left" vertical="center" wrapText="1"/>
    </xf>
    <xf numFmtId="49"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49" fontId="23" fillId="39" borderId="14" xfId="0" applyFont="1" applyFill="1" applyBorder="1" applyNumberFormat="1">
      <alignment horizontal="left" vertical="center" wrapText="1"/>
      <protection locked="0"/>
    </xf>
    <xf numFmtId="0" fontId="23" fillId="0" borderId="0" xfId="0" applyFont="1" applyNumberFormat="1">
      <alignment horizontal="left" vertical="center" indent="1"/>
    </xf>
    <xf numFmtId="0" fontId="0" fillId="0" borderId="0" xfId="0" applyFont="1" applyNumberFormat="1">
      <alignment horizontal="left" vertical="center" indent="1"/>
    </xf>
    <xf numFmtId="0" fontId="0" fillId="0" borderId="0" xfId="0" applyFont="1" applyNumberFormat="1">
      <alignment vertical="center"/>
    </xf>
    <xf numFmtId="49" fontId="23" fillId="43" borderId="38" xfId="0" applyFont="1" applyFill="1" applyBorder="1" applyNumberFormat="1">
      <alignment horizontal="center"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0" fillId="0" borderId="14" xfId="0" applyFont="1" applyBorder="1" applyNumberFormat="1">
      <alignment vertical="top"/>
    </xf>
    <xf numFmtId="49" fontId="0" fillId="43" borderId="14" xfId="0" applyFont="1" applyFill="1" applyBorder="1" applyNumberFormat="1">
      <alignment horizontal="left" vertical="center" wrapText="1"/>
      <protection locked="0"/>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48" fillId="40" borderId="31" xfId="0" applyFont="1" applyFill="1" applyBorder="1" applyNumberFormat="1">
      <alignment horizontal="left" vertical="center"/>
    </xf>
    <xf numFmtId="49" fontId="0" fillId="42" borderId="14" xfId="0" applyFont="1" applyFill="1" applyBorder="1" applyNumberFormat="1">
      <alignment horizontal="left" vertical="center" wrapText="1"/>
      <protection locked="0"/>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0" fontId="0" fillId="0" borderId="14" xfId="0" applyFont="1" applyBorder="1" applyNumberFormat="1">
      <alignment horizontal="center" vertical="center"/>
    </xf>
    <xf numFmtId="49" fontId="0" fillId="39" borderId="14" xfId="0" applyFont="1" applyFill="1" applyBorder="1" applyNumberFormat="1">
      <alignment horizontal="left" vertical="top"/>
      <protection locked="0"/>
    </xf>
    <xf numFmtId="0" fontId="48" fillId="40" borderId="15" xfId="0" applyFont="1" applyFill="1" applyBorder="1" applyNumberFormat="1">
      <alignment horizontal="left" vertical="center"/>
    </xf>
    <xf numFmtId="49" fontId="0" fillId="43" borderId="14" xfId="0" applyFont="1" applyFill="1" applyBorder="1" applyNumberFormat="1">
      <alignment horizontal="left" vertical="top"/>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5" fillId="0" borderId="0" xfId="0" applyFont="1" applyNumberFormat="1">
      <alignment vertical="top"/>
    </xf>
    <xf numFmtId="49" fontId="55" fillId="0" borderId="0" xfId="0" applyFont="1" applyNumberFormat="1">
      <alignment horizontal="center" vertical="center"/>
    </xf>
    <xf numFmtId="49" fontId="55" fillId="0" borderId="0" xfId="0" applyFont="1" applyNumberFormat="1">
      <alignment horizontal="center" vertical="center"/>
    </xf>
    <xf numFmtId="49" fontId="54" fillId="0" borderId="0" xfId="0" applyFont="1" applyNumberFormat="1">
      <alignment horizontal="center" vertical="center"/>
    </xf>
    <xf numFmtId="49" fontId="72"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2" fillId="0" borderId="0" xfId="0" applyFont="1" applyNumberFormat="1">
      <alignment horizontal="left" vertical="center" wrapText="1" indent="1"/>
    </xf>
    <xf numFmtId="0" fontId="50" fillId="0" borderId="0" xfId="0" applyFont="1" applyNumberFormat="1">
      <alignment vertical="center"/>
    </xf>
    <xf numFmtId="0" fontId="118" fillId="0" borderId="0" xfId="0" applyFont="1" applyNumberFormat="1">
      <alignment vertical="center" wrapText="1"/>
    </xf>
    <xf numFmtId="0" fontId="119" fillId="0" borderId="0" xfId="0" applyFont="1" applyNumberFormat="1">
      <alignment vertical="center" wrapText="1"/>
    </xf>
    <xf numFmtId="0" fontId="5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49" fontId="23" fillId="0" borderId="0" xfId="0" applyFont="1" applyNumberFormat="1">
      <alignment vertical="top"/>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xf>
    <xf numFmtId="49" fontId="23" fillId="0" borderId="39" xfId="0" applyFont="1" applyBorder="1" applyNumberFormat="1">
      <alignment vertical="center" wrapText="1"/>
    </xf>
    <xf numFmtId="0" fontId="23"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21" xfId="0" applyFont="1" applyBorder="1" applyNumberFormat="1">
      <alignment vertical="center" wrapText="1"/>
    </xf>
    <xf numFmtId="49" fontId="23" fillId="0" borderId="24"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49" fontId="45" fillId="0" borderId="0" xfId="0" applyFont="1" applyNumberFormat="1">
      <alignment horizontal="center" vertical="center" wrapText="1"/>
    </xf>
    <xf numFmtId="0" fontId="48" fillId="0" borderId="0" xfId="0" applyFont="1" applyNumberFormat="1">
      <alignment vertical="center"/>
    </xf>
    <xf numFmtId="0" fontId="48" fillId="0" borderId="24" xfId="0" applyFont="1" applyBorder="1" applyNumberFormat="1">
      <alignment horizontal="left" vertical="center"/>
    </xf>
    <xf numFmtId="49" fontId="23" fillId="0" borderId="19" xfId="0" applyFont="1" applyBorder="1" applyNumberFormat="1">
      <alignment horizontal="center" vertical="center"/>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72" fillId="0" borderId="32" xfId="0" applyFont="1" applyBorder="1" applyNumberFormat="1">
      <alignment vertical="top"/>
    </xf>
    <xf numFmtId="49" fontId="72" fillId="0" borderId="29" xfId="0" applyFont="1" applyBorder="1" applyNumberFormat="1">
      <alignment vertical="top"/>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6"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23" fillId="37" borderId="0" xfId="0" applyFont="1" applyFill="1" applyNumberFormat="1"/>
    <xf numFmtId="0" fontId="66" fillId="37" borderId="0" xfId="0" applyFont="1" applyFill="1" applyNumberFormat="1"/>
    <xf numFmtId="0" fontId="55" fillId="37" borderId="0" xfId="0" applyFont="1" applyFill="1" applyNumberFormat="1"/>
    <xf numFmtId="0" fontId="66" fillId="37" borderId="0" xfId="0" applyFont="1" applyFill="1" applyNumberFormat="1">
      <alignment horizontal="center"/>
    </xf>
    <xf numFmtId="0" fontId="95" fillId="0" borderId="0" xfId="0" applyFont="1" applyNumberFormat="1">
      <alignment vertical="center"/>
    </xf>
    <xf numFmtId="0" fontId="94" fillId="0" borderId="0" xfId="0" applyFont="1" applyNumberFormat="1">
      <alignment vertical="center"/>
    </xf>
    <xf numFmtId="0" fontId="78" fillId="37" borderId="0" xfId="0" applyFont="1" applyFill="1" applyNumberFormat="1">
      <alignment horizontal="right" vertical="center"/>
    </xf>
    <xf numFmtId="0" fontId="23" fillId="37" borderId="0" xfId="0" applyFont="1" applyFill="1" applyNumberFormat="1">
      <alignment vertical="center" wrapText="1"/>
    </xf>
    <xf numFmtId="0" fontId="55" fillId="37" borderId="0" xfId="0" applyFont="1" applyFill="1" applyNumberFormat="1">
      <alignment vertical="center" wrapText="1"/>
    </xf>
    <xf numFmtId="0" fontId="23" fillId="37" borderId="0" xfId="0" applyFont="1" applyFill="1" applyNumberFormat="1">
      <alignment horizontal="center" vertical="center" wrapText="1"/>
    </xf>
    <xf numFmtId="0" fontId="98" fillId="37" borderId="0" xfId="0" applyFont="1" applyFill="1" applyNumberFormat="1">
      <alignment horizontal="left" vertical="center"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44" fillId="37" borderId="0" xfId="0" applyFont="1" applyFill="1" applyNumberFormat="1">
      <alignment horizontal="center" vertical="center"/>
    </xf>
    <xf numFmtId="49" fontId="55" fillId="0" borderId="14" xfId="0" applyFont="1" applyBorder="1" applyNumberFormat="1">
      <alignment horizontal="center" vertical="center"/>
    </xf>
    <xf numFmtId="0" fontId="55" fillId="0" borderId="14" xfId="0" applyFont="1" applyBorder="1" applyNumberFormat="1">
      <alignment vertical="center" wrapText="1"/>
    </xf>
    <xf numFmtId="0" fontId="55" fillId="0" borderId="14" xfId="0" applyFont="1" applyBorder="1" applyNumberFormat="1">
      <alignment horizontal="left" vertical="center" wrapText="1"/>
    </xf>
    <xf numFmtId="0" fontId="70" fillId="37" borderId="0" xfId="0" applyFont="1" applyFill="1" applyNumberFormat="1"/>
    <xf numFmtId="49" fontId="0" fillId="37" borderId="14" xfId="0" applyFont="1" applyFill="1" applyBorder="1" applyNumberFormat="1">
      <alignment horizontal="center" vertical="center"/>
    </xf>
    <xf numFmtId="0" fontId="0" fillId="37" borderId="14" xfId="0" applyFont="1" applyFill="1" applyBorder="1" applyNumberFormat="1">
      <alignment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vertical="center" wrapText="1"/>
    </xf>
    <xf numFmtId="0" fontId="0" fillId="37" borderId="14" xfId="0" applyFont="1" applyFill="1" applyBorder="1" applyNumberFormat="1">
      <alignment horizontal="left" vertical="center" wrapText="1" indent="1"/>
    </xf>
    <xf numFmtId="49" fontId="0" fillId="42" borderId="14" xfId="0" applyFont="1" applyFill="1" applyBorder="1" applyNumberFormat="1">
      <alignment horizontal="left" vertical="center" wrapText="1"/>
      <protection locked="0"/>
    </xf>
    <xf numFmtId="0" fontId="55" fillId="0" borderId="14"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95" fillId="0" borderId="0" xfId="0" applyFont="1" applyNumberFormat="1">
      <alignment vertical="center" wrapText="1"/>
    </xf>
    <xf numFmtId="0" fontId="0" fillId="37" borderId="14" xfId="0" applyFont="1" applyFill="1" applyBorder="1" applyNumberFormat="1">
      <alignment horizontal="center" vertical="center"/>
    </xf>
    <xf numFmtId="0" fontId="0" fillId="37" borderId="14" xfId="0" applyFont="1" applyFill="1" applyBorder="1" applyNumberFormat="1">
      <alignment horizontal="left" vertical="center" wrapText="1" indent="2"/>
    </xf>
    <xf numFmtId="49" fontId="0" fillId="0" borderId="14" xfId="0" applyFont="1" applyBorder="1" applyNumberFormat="1">
      <alignment horizontal="left" vertical="center" wrapText="1"/>
    </xf>
    <xf numFmtId="167" fontId="0" fillId="0" borderId="14" xfId="0" applyFont="1" applyBorder="1" applyNumberFormat="1">
      <alignment horizontal="left" vertical="center" wrapText="1" indent="1"/>
    </xf>
    <xf numFmtId="49" fontId="23" fillId="37" borderId="0" xfId="0" applyFont="1" applyFill="1" applyNumberFormat="1">
      <alignment vertical="center" wrapText="1"/>
    </xf>
    <xf numFmtId="0" fontId="23" fillId="37" borderId="26" xfId="0" applyFont="1" applyFill="1" applyBorder="1" applyNumberFormat="1">
      <alignment vertical="center" wrapText="1"/>
    </xf>
    <xf numFmtId="0" fontId="23" fillId="40" borderId="16" xfId="0" applyFont="1" applyFill="1" applyBorder="1" applyNumberFormat="1">
      <alignment horizontal="center"/>
    </xf>
    <xf numFmtId="49" fontId="48" fillId="40" borderId="17" xfId="0" applyFont="1" applyFill="1" applyBorder="1" applyNumberFormat="1">
      <alignment horizontal="left" vertical="center" indent="1"/>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0" fontId="55" fillId="37" borderId="0" xfId="0" applyFont="1" applyFill="1" applyNumberFormat="1"/>
    <xf numFmtId="49" fontId="55" fillId="37" borderId="14" xfId="0" applyFont="1" applyFill="1" applyBorder="1" applyNumberFormat="1">
      <alignment horizontal="center" vertical="center"/>
    </xf>
    <xf numFmtId="0" fontId="55" fillId="37" borderId="14" xfId="0" applyFont="1" applyFill="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0" fontId="0" fillId="37" borderId="14" xfId="0" applyFont="1" applyFill="1" applyBorder="1" applyNumberFormat="1">
      <alignment horizontal="left" vertical="center" wrapText="1"/>
    </xf>
    <xf numFmtId="49" fontId="0" fillId="39" borderId="14" xfId="0" applyFont="1" applyFill="1" applyBorder="1" applyNumberFormat="1">
      <alignment horizontal="left" vertical="center" wrapText="1"/>
      <protection locked="0"/>
    </xf>
    <xf numFmtId="0" fontId="0" fillId="37" borderId="19" xfId="0" applyFont="1" applyFill="1" applyBorder="1" applyNumberFormat="1">
      <alignment horizontal="left" vertical="center" wrapText="1"/>
    </xf>
    <xf numFmtId="0" fontId="23" fillId="37" borderId="19" xfId="0" applyFont="1" applyFill="1" applyBorder="1" applyNumberFormat="1">
      <alignment horizontal="left" vertical="top" wrapText="1"/>
    </xf>
    <xf numFmtId="49" fontId="0" fillId="0" borderId="14" xfId="0" applyFont="1" applyBorder="1" applyNumberFormat="1">
      <alignment horizontal="left" vertical="center" wrapText="1" indent="1"/>
    </xf>
    <xf numFmtId="0" fontId="23" fillId="37" borderId="38" xfId="0" applyFont="1" applyFill="1" applyBorder="1" applyNumberFormat="1">
      <alignment horizontal="left" vertical="top" wrapText="1"/>
    </xf>
    <xf numFmtId="0" fontId="45" fillId="37" borderId="0" xfId="0" applyFont="1" applyFill="1" applyNumberFormat="1">
      <alignment horizontal="center" vertical="center"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37" borderId="25" xfId="0" applyFont="1" applyFill="1" applyBorder="1" applyNumberFormat="1">
      <alignment horizontal="left" vertical="top" wrapText="1"/>
    </xf>
    <xf numFmtId="0" fontId="58" fillId="37" borderId="0" xfId="0" applyFont="1" applyFill="1" applyNumberFormat="1"/>
    <xf numFmtId="49" fontId="23" fillId="42" borderId="14" xfId="0" applyFont="1" applyFill="1" applyBorder="1" applyNumberFormat="1" quotePrefix="1">
      <alignment horizontal="left" vertical="center" wrapText="1"/>
      <protection locked="0"/>
    </xf>
    <xf numFmtId="49" fontId="23" fillId="39"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0" fillId="37" borderId="16" xfId="0" applyFont="1" applyFill="1" applyBorder="1" applyNumberFormat="1">
      <alignment horizontal="left" vertical="center" wrapText="1" indent="1"/>
    </xf>
    <xf numFmtId="49" fontId="23" fillId="43" borderId="16" xfId="0" applyFont="1" applyFill="1" applyBorder="1" applyNumberFormat="1">
      <alignment horizontal="left" vertical="center" wrapText="1"/>
    </xf>
    <xf numFmtId="0" fontId="0" fillId="37" borderId="14" xfId="0" applyFont="1" applyFill="1" applyBorder="1" applyNumberFormat="1">
      <alignment vertical="top" wrapText="1"/>
    </xf>
    <xf numFmtId="49" fontId="23" fillId="37" borderId="0" xfId="0" applyFont="1" applyFill="1" applyNumberFormat="1">
      <alignment horizontal="center" vertical="center" wrapText="1"/>
    </xf>
    <xf numFmtId="0" fontId="0" fillId="37" borderId="16" xfId="0" applyFont="1" applyFill="1" applyBorder="1" applyNumberFormat="1">
      <alignment horizontal="left" vertical="center" wrapText="1"/>
    </xf>
    <xf numFmtId="0" fontId="0" fillId="37" borderId="25" xfId="0" applyFont="1" applyFill="1" applyBorder="1" applyNumberFormat="1">
      <alignment vertical="center" wrapText="1"/>
    </xf>
    <xf numFmtId="0" fontId="81" fillId="37" borderId="0" xfId="0" applyFont="1" applyFill="1" applyNumberFormat="1"/>
    <xf numFmtId="0" fontId="23" fillId="0" borderId="0" xfId="0" applyFont="1" applyNumberFormat="1">
      <alignment vertical="top" wrapText="1"/>
    </xf>
    <xf numFmtId="0" fontId="55" fillId="0" borderId="0" xfId="0" applyFont="1" applyNumberFormat="1">
      <alignment vertical="center" wrapText="1"/>
    </xf>
    <xf numFmtId="0" fontId="53" fillId="0" borderId="0" xfId="0" applyFont="1" applyNumberFormat="1">
      <alignment horizontal="right" vertical="top" wrapText="1"/>
    </xf>
    <xf numFmtId="0" fontId="53" fillId="0" borderId="0" xfId="0" applyFont="1" applyNumberFormat="1">
      <alignment horizontal="left" vertical="top" wrapText="1" indent="1"/>
    </xf>
    <xf numFmtId="0" fontId="53" fillId="0" borderId="0" xfId="0" applyFont="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2" fillId="37" borderId="0" xfId="0" applyFont="1" applyFill="1" applyNumberFormat="1">
      <alignment horizontal="right" vertical="center"/>
    </xf>
    <xf numFmtId="0" fontId="83" fillId="37" borderId="0" xfId="0" applyFont="1" applyFill="1" applyNumberFormat="1">
      <alignment vertical="center"/>
    </xf>
    <xf numFmtId="0" fontId="82" fillId="37" borderId="0" xfId="0" applyFont="1" applyFill="1" applyNumberFormat="1">
      <alignment horizontal="right" vertical="top"/>
    </xf>
    <xf numFmtId="0" fontId="83"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45" fillId="37" borderId="0" xfId="0" applyFont="1" applyFill="1" applyNumberFormat="1">
      <alignment horizontal="center" vertical="center" wrapText="1"/>
    </xf>
    <xf numFmtId="0" fontId="22" fillId="0" borderId="0" xfId="0" applyFont="1" applyNumberFormat="1">
      <alignment horizontal="left" vertical="center" wrapText="1" indent="3"/>
    </xf>
    <xf numFmtId="0" fontId="69" fillId="0" borderId="0" xfId="0" applyFont="1" applyNumberFormat="1">
      <alignment horizontal="center" vertical="center" wrapText="1"/>
    </xf>
    <xf numFmtId="0" fontId="69" fillId="0" borderId="0" xfId="0" applyFont="1" applyNumberFormat="1">
      <alignment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65" fillId="0" borderId="0" xfId="0" applyFont="1" applyNumberFormat="1">
      <alignment vertical="center" wrapText="1"/>
    </xf>
    <xf numFmtId="0" fontId="63" fillId="0" borderId="0" xfId="0" applyFont="1" applyNumberFormat="1">
      <alignment vertical="center" wrapText="1"/>
    </xf>
    <xf numFmtId="0" fontId="84" fillId="37" borderId="0" xfId="0" applyFont="1" applyFill="1" applyNumberFormat="1">
      <alignment horizontal="center" vertical="center" wrapText="1"/>
    </xf>
    <xf numFmtId="0" fontId="65" fillId="0" borderId="0" xfId="0" applyFont="1" applyNumberFormat="1">
      <alignment horizontal="left" vertical="center" wrapText="1" indent="1"/>
    </xf>
    <xf numFmtId="0" fontId="23" fillId="0" borderId="0" xfId="0" applyFont="1" applyNumberFormat="1">
      <alignment horizontal="right" vertical="center"/>
    </xf>
    <xf numFmtId="0" fontId="55" fillId="0" borderId="0" xfId="0" applyFont="1" applyNumberFormat="1">
      <alignment vertical="center" wrapText="1"/>
    </xf>
    <xf numFmtId="0" fontId="0"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44" fillId="37" borderId="0" xfId="0" applyFont="1" applyFill="1" applyNumberFormat="1">
      <alignment horizontal="center" vertical="center" wrapText="1"/>
    </xf>
    <xf numFmtId="49" fontId="44" fillId="37" borderId="0" xfId="0" applyFont="1" applyFill="1" applyNumberFormat="1">
      <alignment horizontal="center" vertical="center" wrapText="1"/>
    </xf>
    <xf numFmtId="0" fontId="23" fillId="0" borderId="0" xfId="0" applyFont="1" applyNumberFormat="1">
      <alignment vertical="center" wrapText="1"/>
    </xf>
    <xf numFmtId="0" fontId="77" fillId="0" borderId="0" xfId="0" applyFont="1" applyNumberFormat="1">
      <alignmen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49" fontId="77" fillId="0" borderId="14" xfId="0" applyFont="1" applyBorder="1" applyNumberFormat="1">
      <alignment horizontal="left" vertical="center" wrapText="1"/>
    </xf>
    <xf numFmtId="49" fontId="0" fillId="0" borderId="14" xfId="0" applyFont="1" applyBorder="1" applyNumberFormat="1">
      <alignment vertical="top" wrapText="1"/>
    </xf>
    <xf numFmtId="49" fontId="0" fillId="0" borderId="14" xfId="0" applyFont="1" applyBorder="1" applyNumberFormat="1">
      <alignment horizontal="center" vertical="center" wrapText="1"/>
    </xf>
    <xf numFmtId="49" fontId="0" fillId="39"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 fontId="0" fillId="42"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 fontId="0" fillId="42" borderId="15" xfId="0" applyFont="1" applyFill="1" applyBorder="1" applyNumberFormat="1">
      <alignment horizontal="right" vertical="center" wrapText="1"/>
      <protection locked="0"/>
    </xf>
    <xf numFmtId="0" fontId="0" fillId="39" borderId="14" xfId="0" applyFont="1" applyFill="1" applyBorder="1" applyNumberFormat="1">
      <alignment horizontal="right" vertical="center" wrapText="1"/>
      <protection locked="0"/>
    </xf>
    <xf numFmtId="3" fontId="0" fillId="0" borderId="15" xfId="0" applyFont="1" applyBorder="1" applyNumberFormat="1">
      <alignment horizontal="right" vertical="center" wrapText="1"/>
    </xf>
    <xf numFmtId="0" fontId="0" fillId="0" borderId="19" xfId="0" applyFont="1" applyBorder="1" applyNumberFormat="1">
      <alignment horizontal="left" vertical="top" wrapText="1"/>
    </xf>
    <xf numFmtId="49" fontId="36" fillId="40" borderId="16" xfId="0" applyFont="1" applyFill="1" applyBorder="1" applyNumberFormat="1">
      <alignment horizontal="center" vertical="center"/>
    </xf>
    <xf numFmtId="0" fontId="48" fillId="40" borderId="17" xfId="0" applyFont="1" applyFill="1" applyBorder="1" applyNumberFormat="1">
      <alignment vertical="center"/>
    </xf>
    <xf numFmtId="49" fontId="48" fillId="40" borderId="17" xfId="0" applyFont="1" applyFill="1" applyBorder="1" applyNumberFormat="1">
      <alignment vertical="center"/>
    </xf>
    <xf numFmtId="49" fontId="78" fillId="40" borderId="17" xfId="0" applyFont="1" applyFill="1" applyBorder="1" applyNumberFormat="1">
      <alignment vertical="center"/>
    </xf>
    <xf numFmtId="49" fontId="78" fillId="40" borderId="15" xfId="0" applyFont="1" applyFill="1" applyBorder="1" applyNumberFormat="1">
      <alignment vertical="center"/>
    </xf>
    <xf numFmtId="0" fontId="0" fillId="0" borderId="25" xfId="0" applyFont="1" applyBorder="1" applyNumberFormat="1">
      <alignment horizontal="left" vertical="top" wrapText="1"/>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0" fillId="0" borderId="0" xfId="0" applyFont="1" applyNumberFormat="1">
      <alignment vertical="center" wrapText="1"/>
    </xf>
    <xf numFmtId="0" fontId="55" fillId="0" borderId="0" xfId="0" applyFont="1" applyNumberFormat="1">
      <alignment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0" fillId="0" borderId="39" xfId="0" applyFont="1" applyBorder="1" applyNumberFormat="1">
      <alignment horizontal="center" vertical="center" wrapText="1"/>
    </xf>
    <xf numFmtId="0" fontId="23" fillId="43" borderId="21" xfId="0" applyFont="1" applyFill="1" applyBorder="1" applyNumberFormat="1">
      <alignment horizontal="lef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49" fontId="0" fillId="0" borderId="32" xfId="0" applyFont="1" applyBorder="1" applyNumberFormat="1">
      <alignment horizontal="center" vertical="center" wrapText="1"/>
    </xf>
    <xf numFmtId="0" fontId="23" fillId="43" borderId="29" xfId="0" applyFont="1" applyFill="1" applyBorder="1" applyNumberFormat="1">
      <alignment horizontal="left" vertical="center" wrapText="1"/>
    </xf>
    <xf numFmtId="0" fontId="93" fillId="0" borderId="0" xfId="0" applyFont="1" applyNumberFormat="1">
      <alignment vertical="center" wrapText="1"/>
    </xf>
    <xf numFmtId="0" fontId="55" fillId="0" borderId="0" xfId="0" applyFont="1" applyNumberFormat="1">
      <alignment vertical="center" wrapText="1"/>
    </xf>
    <xf numFmtId="0" fontId="45" fillId="37" borderId="0" xfId="0" applyFont="1" applyFill="1" applyNumberFormat="1">
      <alignment horizontal="center" vertical="center" wrapText="1"/>
    </xf>
    <xf numFmtId="0" fontId="23" fillId="0" borderId="21" xfId="0" applyFont="1" applyBorder="1" applyNumberFormat="1">
      <alignment horizontal="left" vertical="top" wrapText="1" indent="1"/>
    </xf>
    <xf numFmtId="0" fontId="69"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vertical="center" wrapText="1"/>
    </xf>
    <xf numFmtId="0" fontId="23" fillId="0" borderId="25" xfId="0" applyFont="1" applyBorder="1" applyNumberFormat="1">
      <alignment horizontal="center" vertical="center" wrapText="1"/>
    </xf>
    <xf numFmtId="0" fontId="23" fillId="0" borderId="0" xfId="0" applyFont="1" applyNumberFormat="1">
      <alignmen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2" fillId="0" borderId="0" xfId="0" applyFont="1" applyNumberFormat="1">
      <alignment horizontal="center" vertical="center" wrapText="1"/>
    </xf>
    <xf numFmtId="0" fontId="50" fillId="0" borderId="0" xfId="0" applyFont="1" applyNumberFormat="1">
      <alignment vertical="center" wrapText="1"/>
    </xf>
    <xf numFmtId="4" fontId="65" fillId="0" borderId="0" xfId="0" applyFont="1" applyNumberFormat="1">
      <alignment horizontal="right"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4" fillId="37" borderId="17" xfId="0" applyFont="1" applyFill="1" applyBorder="1" applyNumberFormat="1">
      <alignment horizontal="center" vertical="center" wrapText="1"/>
    </xf>
    <xf numFmtId="49" fontId="44" fillId="37" borderId="17" xfId="0" applyFont="1" applyFill="1" applyBorder="1" applyNumberFormat="1">
      <alignment horizontal="center"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top"/>
    </xf>
    <xf numFmtId="0" fontId="45" fillId="37" borderId="26" xfId="0" applyFont="1" applyFill="1" applyBorder="1" applyNumberFormat="1">
      <alignment vertical="top"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49" fontId="34" fillId="40" borderId="15" xfId="0" applyFont="1" applyFill="1" applyBorder="1" applyNumberFormat="1">
      <alignment horizontal="left" vertical="center" wrapText="1"/>
    </xf>
    <xf numFmtId="0" fontId="0" fillId="0" borderId="38" xfId="0" applyFont="1" applyBorder="1" applyNumberFormat="1">
      <alignment horizontal="left" vertical="top"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45" fillId="37" borderId="0" xfId="0" applyFont="1" applyFill="1" applyNumberFormat="1">
      <alignment vertical="top" wrapText="1"/>
    </xf>
    <xf numFmtId="0" fontId="55" fillId="37" borderId="25" xfId="0" applyFont="1" applyFill="1" applyBorder="1" applyNumberFormat="1">
      <alignment horizontal="center" vertical="center" wrapText="1"/>
    </xf>
    <xf numFmtId="14" fontId="23" fillId="43" borderId="25" xfId="0" applyFont="1" applyFill="1" applyBorder="1" applyNumberFormat="1">
      <alignment horizontal="left" vertical="center" wrapText="1"/>
    </xf>
    <xf numFmtId="14" fontId="23" fillId="43" borderId="14" xfId="0" applyFont="1" applyFill="1" applyBorder="1" applyNumberFormat="1">
      <alignment horizontal="center" vertical="center" wrapText="1"/>
    </xf>
    <xf numFmtId="49" fontId="34" fillId="42" borderId="14" xfId="0" applyFont="1" applyFill="1" applyBorder="1" applyNumberFormat="1">
      <alignment horizontal="left" vertical="center" wrapText="1"/>
      <protection locked="0"/>
    </xf>
    <xf numFmtId="49" fontId="36" fillId="40" borderId="17" xfId="0" applyFont="1" applyFill="1" applyBorder="1" applyNumberFormat="1">
      <alignment horizontal="center" vertical="center"/>
    </xf>
    <xf numFmtId="49" fontId="78" fillId="40" borderId="17" xfId="0" applyFont="1" applyFill="1" applyBorder="1" applyNumberFormat="1">
      <alignment horizontal="left" vertical="center" indent="1"/>
    </xf>
    <xf numFmtId="49" fontId="78" fillId="40" borderId="15" xfId="0" applyFont="1" applyFill="1" applyBorder="1" applyNumberFormat="1">
      <alignment horizontal="left" vertical="center" indent="1"/>
    </xf>
    <xf numFmtId="0" fontId="65" fillId="0" borderId="0" xfId="0" applyFont="1" applyNumberFormat="1">
      <alignment vertical="center" wrapText="1"/>
    </xf>
    <xf numFmtId="0" fontId="84" fillId="0" borderId="0" xfId="0" applyFont="1" applyNumberFormat="1">
      <alignment horizontal="center" vertical="center" wrapText="1"/>
    </xf>
    <xf numFmtId="0" fontId="53" fillId="0" borderId="0" xfId="0" applyFont="1" applyNumberFormat="1">
      <alignment vertical="top" wrapText="1"/>
    </xf>
    <xf numFmtId="0" fontId="23" fillId="0" borderId="0" xfId="0" applyFont="1" applyNumberFormat="1">
      <alignment horizontal="right" vertical="top" wrapText="1"/>
    </xf>
    <xf numFmtId="0" fontId="53"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horizontal="left" vertical="center" indent="1"/>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6" xfId="0" applyFont="1" applyBorder="1" applyNumberFormat="1">
      <alignment vertical="top"/>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4" xfId="0" applyFont="1" applyBorder="1" applyNumberFormat="1">
      <alignment horizontal="left" vertical="center" wrapText="1" indent="6"/>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53" fillId="0" borderId="14" xfId="0" applyFont="1" applyBorder="1" applyNumberFormat="1">
      <alignment vertical="top" wrapText="1"/>
    </xf>
    <xf numFmtId="0" fontId="54" fillId="0" borderId="16" xfId="0" applyFont="1" applyBorder="1" applyNumberFormat="1">
      <alignment horizontal="center" vertical="center"/>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indent="1"/>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54" fillId="0" borderId="14" xfId="0" applyFont="1" applyBorder="1" applyNumberFormat="1">
      <alignment horizontal="center" vertical="center" wrapText="1"/>
    </xf>
    <xf numFmtId="0" fontId="54"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54" fillId="0" borderId="16" xfId="0" applyFont="1" applyBorder="1" applyNumberFormat="1">
      <alignment horizontal="center" vertical="center" wrapText="1"/>
    </xf>
    <xf numFmtId="0" fontId="54" fillId="0" borderId="0" xfId="0" applyFont="1" applyNumberFormat="1">
      <alignment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23" fillId="43" borderId="14" xfId="0" applyFont="1" applyFill="1" applyBorder="1" applyNumberFormat="1">
      <alignment horizontal="left" vertical="center" wrapText="1" indent="6"/>
    </xf>
    <xf numFmtId="4" fontId="23" fillId="39" borderId="14" xfId="0" applyFont="1" applyFill="1" applyBorder="1" applyNumberFormat="1">
      <alignment horizontal="right" vertical="center" wrapText="1"/>
      <protection locked="0"/>
    </xf>
    <xf numFmtId="4" fontId="23" fillId="0" borderId="14" xfId="0" applyFont="1" applyBorder="1" applyNumberFormat="1">
      <alignment horizontal="right" vertical="center" wrapText="1"/>
    </xf>
    <xf numFmtId="16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0" fontId="53" fillId="0" borderId="19" xfId="0" applyFont="1" applyBorder="1" applyNumberFormat="1">
      <alignment horizontal="left" vertical="top" wrapText="1"/>
    </xf>
    <xf numFmtId="49" fontId="23" fillId="0" borderId="14" xfId="0" applyFont="1" applyBorder="1" applyNumberFormat="1">
      <alignment horizontal="left" vertical="center" wrapText="1"/>
    </xf>
    <xf numFmtId="4" fontId="55" fillId="0" borderId="14" xfId="0" applyFont="1" applyBorder="1" applyNumberFormat="1">
      <alignment horizontal="center" vertical="center" wrapText="1"/>
    </xf>
    <xf numFmtId="49" fontId="0" fillId="42" borderId="14" xfId="0" applyFont="1" applyFill="1" applyBorder="1" applyNumberFormat="1">
      <alignment horizontal="center" vertical="center" wrapText="1"/>
      <protection locked="0"/>
    </xf>
    <xf numFmtId="0" fontId="53" fillId="0" borderId="38" xfId="0" applyFont="1" applyBorder="1" applyNumberFormat="1">
      <alignment horizontal="left" vertical="top"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6"/>
    </xf>
    <xf numFmtId="49" fontId="23" fillId="40" borderId="15" xfId="0" applyFont="1" applyFill="1" applyBorder="1" applyNumberFormat="1">
      <alignment horizontal="center" vertical="center" wrapText="1"/>
    </xf>
    <xf numFmtId="0" fontId="53" fillId="0" borderId="25" xfId="0" applyFont="1" applyBorder="1" applyNumberFormat="1">
      <alignment horizontal="left" vertical="top" wrapText="1"/>
    </xf>
    <xf numFmtId="49" fontId="48" fillId="40" borderId="17" xfId="0" applyFont="1" applyFill="1" applyBorder="1" applyNumberFormat="1">
      <alignment horizontal="left" vertical="center" indent="5"/>
    </xf>
    <xf numFmtId="49" fontId="0"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49" fontId="47" fillId="0" borderId="0" xfId="0" applyFont="1" applyNumberFormat="1">
      <alignment vertical="top"/>
    </xf>
    <xf numFmtId="49" fontId="48" fillId="40" borderId="17" xfId="0" applyFont="1" applyFill="1" applyBorder="1" applyNumberFormat="1">
      <alignment horizontal="left" vertical="center" indent="4"/>
    </xf>
    <xf numFmtId="0" fontId="55"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49" fontId="23" fillId="0" borderId="0" xfId="0" applyFont="1" applyNumberFormat="1">
      <alignmen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167" fontId="54" fillId="0" borderId="14" xfId="0" applyFont="1" applyBorder="1" applyNumberFormat="1">
      <alignment horizontal="center" vertical="center" wrapText="1"/>
    </xf>
    <xf numFmtId="49" fontId="54" fillId="0" borderId="14" xfId="0" applyFont="1" applyBorder="1" applyNumberFormat="1">
      <alignment horizontal="center"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54" fillId="0" borderId="14" xfId="0" applyFont="1" applyBorder="1" applyNumberFormat="1">
      <alignment vertical="center" wrapText="1"/>
    </xf>
    <xf numFmtId="0" fontId="74" fillId="0" borderId="0" xfId="0" applyFont="1" applyNumberFormat="1">
      <alignment vertical="center" wrapText="1"/>
    </xf>
    <xf numFmtId="0" fontId="54" fillId="0" borderId="0" xfId="0" applyFont="1" applyNumberFormat="1">
      <alignment horizontal="left" vertical="center" wrapText="1"/>
    </xf>
    <xf numFmtId="0" fontId="47"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1" xfId="0" applyFont="1" applyBorder="1" applyNumberFormat="1">
      <alignment horizontal="left" vertical="top" wrapText="1" indent="1"/>
    </xf>
    <xf numFmtId="0" fontId="22" fillId="0" borderId="0" xfId="0" applyFont="1" applyNumberFormat="1">
      <alignment vertical="center" wrapTex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4" fillId="0" borderId="0" xfId="0" applyFont="1" applyNumberFormat="1">
      <alignment vertical="center"/>
    </xf>
    <xf numFmtId="0" fontId="54" fillId="0" borderId="0" xfId="0" applyFont="1" applyNumberFormat="1">
      <alignment horizontal="center" vertical="center"/>
    </xf>
    <xf numFmtId="0" fontId="0" fillId="37" borderId="14" xfId="0" applyFont="1" applyFill="1" applyBorder="1" applyNumberFormat="1">
      <alignment horizontal="right" vertical="center" wrapText="1" indent="1"/>
    </xf>
    <xf numFmtId="0" fontId="0" fillId="0" borderId="17" xfId="0" applyFont="1" applyBorder="1" applyNumberFormat="1">
      <alignment vertical="center"/>
    </xf>
    <xf numFmtId="0" fontId="23" fillId="38" borderId="14" xfId="0" applyFont="1" applyFill="1" applyBorder="1" applyNumberFormat="1">
      <alignment horizontal="left" vertical="center" wrapText="1" indent="1"/>
    </xf>
    <xf numFmtId="0" fontId="23" fillId="0" borderId="0" xfId="0" applyFont="1" applyNumberFormat="1">
      <alignment vertical="center" wrapText="1"/>
    </xf>
    <xf numFmtId="0" fontId="73" fillId="0" borderId="0" xfId="0" applyFont="1" applyNumberFormat="1">
      <alignment vertical="center"/>
    </xf>
    <xf numFmtId="0" fontId="55" fillId="0" borderId="0" xfId="0" applyFont="1" applyNumberFormat="1">
      <alignment vertical="center"/>
    </xf>
    <xf numFmtId="167" fontId="23" fillId="38" borderId="14"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wrapText="1"/>
    </xf>
    <xf numFmtId="0" fontId="23" fillId="37" borderId="29" xfId="0" applyFont="1" applyFill="1" applyBorder="1" applyNumberFormat="1">
      <alignment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19" xfId="0" applyFont="1" applyBorder="1" applyNumberFormat="1">
      <alignmen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0" fontId="23" fillId="0" borderId="38" xfId="0" applyFont="1" applyBorder="1" applyNumberFormat="1">
      <alignment vertical="center" wrapText="1"/>
    </xf>
    <xf numFmtId="0" fontId="23" fillId="0" borderId="19" xfId="0" applyFont="1" applyBorder="1" applyNumberFormat="1">
      <alignment horizontal="center" vertical="center" wrapText="1"/>
    </xf>
    <xf numFmtId="0" fontId="54"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7" xfId="0" applyFont="1" applyBorder="1" applyNumberFormat="1">
      <alignment horizontal="center" vertical="center" wrapText="1"/>
    </xf>
    <xf numFmtId="0" fontId="23" fillId="37" borderId="38" xfId="0" applyFont="1" applyFill="1" applyBorder="1" applyNumberFormat="1">
      <alignment horizontal="center" vertical="center" wrapText="1"/>
    </xf>
    <xf numFmtId="49" fontId="48" fillId="40" borderId="38" xfId="0" applyFont="1" applyFill="1" applyBorder="1" applyNumberFormat="1">
      <alignment horizontal="center" vertical="center" textRotation="90" wrapText="1"/>
    </xf>
    <xf numFmtId="0" fontId="54" fillId="0" borderId="0" xfId="0" applyFont="1" applyNumberFormat="1">
      <alignment vertical="center"/>
    </xf>
    <xf numFmtId="0" fontId="23" fillId="0" borderId="25" xfId="0" applyFont="1" applyBorder="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8" fillId="40" borderId="25" xfId="0" applyFont="1" applyFill="1" applyBorder="1" applyNumberFormat="1">
      <alignment horizontal="center" vertical="center" textRotation="90" wrapText="1"/>
    </xf>
    <xf numFmtId="49" fontId="77" fillId="0" borderId="0" xfId="0" applyFont="1" applyNumberFormat="1">
      <alignment vertical="center" wrapText="1"/>
    </xf>
    <xf numFmtId="0" fontId="111" fillId="37" borderId="0" xfId="0" applyFont="1" applyFill="1" applyNumberFormat="1">
      <alignment vertical="center" wrapText="1"/>
    </xf>
    <xf numFmtId="0" fontId="112" fillId="37" borderId="0" xfId="0" applyFont="1" applyFill="1" applyNumberFormat="1">
      <alignment vertical="center" wrapText="1"/>
    </xf>
    <xf numFmtId="49" fontId="85" fillId="37" borderId="21" xfId="0" applyFont="1" applyFill="1" applyBorder="1" applyNumberFormat="1">
      <alignment horizontal="left" vertical="center" wrapText="1"/>
    </xf>
    <xf numFmtId="49" fontId="85" fillId="37" borderId="21" xfId="0" applyFont="1" applyFill="1" applyBorder="1" applyNumberFormat="1">
      <alignment horizontal="center" vertical="center" wrapText="1"/>
    </xf>
    <xf numFmtId="0" fontId="5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167" fontId="0" fillId="42" borderId="19" xfId="0" applyFont="1" applyFill="1" applyBorder="1" applyNumberFormat="1">
      <alignment horizontal="center" vertical="center" wrapText="1"/>
      <protection locked="0"/>
    </xf>
    <xf numFmtId="4" fontId="23" fillId="0" borderId="19" xfId="0" applyFont="1" applyBorder="1" applyNumberFormat="1">
      <alignment horizontal="right" vertical="center" wrapText="1"/>
    </xf>
    <xf numFmtId="49" fontId="23" fillId="0" borderId="14" xfId="0" applyFont="1" applyBorder="1" applyNumberFormat="1">
      <alignment horizontal="left" vertical="center" wrapText="1"/>
    </xf>
    <xf numFmtId="49" fontId="0" fillId="42" borderId="25" xfId="0" applyFont="1" applyFill="1" applyBorder="1" applyNumberFormat="1">
      <alignment horizontal="center" vertical="center" wrapText="1"/>
      <protection locked="0"/>
    </xf>
    <xf numFmtId="4" fontId="23" fillId="0" borderId="25" xfId="0" applyFont="1" applyBorder="1" applyNumberFormat="1">
      <alignment horizontal="right" vertical="center" wrapText="1"/>
    </xf>
    <xf numFmtId="0" fontId="55" fillId="0" borderId="0" xfId="0" applyFont="1" applyNumberFormat="1">
      <alignment horizontal="left" vertical="center" indent="1"/>
    </xf>
    <xf numFmtId="0" fontId="55" fillId="0" borderId="0" xfId="0" applyFont="1" applyNumberFormat="1">
      <alignment vertical="center" wrapText="1"/>
    </xf>
    <xf numFmtId="0" fontId="55" fillId="0" borderId="0" xfId="0" applyFont="1" applyNumberFormat="1">
      <alignment horizontal="center" vertical="center"/>
    </xf>
    <xf numFmtId="0" fontId="55" fillId="0" borderId="0" xfId="0" applyFont="1" applyNumberFormat="1">
      <alignment vertical="center" wrapText="1"/>
    </xf>
    <xf numFmtId="49" fontId="55" fillId="0" borderId="0" xfId="0" applyFont="1" applyNumberFormat="1">
      <alignment vertical="top"/>
    </xf>
    <xf numFmtId="49" fontId="112"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23" fillId="0" borderId="0" xfId="0" applyFont="1" applyNumberFormat="1">
      <alignment vertical="center" wrapText="1"/>
    </xf>
    <xf numFmtId="0" fontId="47"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0" fontId="23" fillId="0" borderId="14" xfId="0" applyFont="1" applyBorder="1" applyNumberFormat="1">
      <alignment horizontal="center" vertical="center"/>
    </xf>
    <xf numFmtId="0" fontId="23" fillId="0" borderId="0" xfId="0" applyFont="1" applyNumberFormat="1">
      <alignment horizontal="center" vertical="center"/>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0" fontId="23" fillId="37" borderId="14" xfId="0" applyFont="1" applyFill="1" applyBorder="1" applyNumberFormat="1">
      <alignment horizontal="left" vertical="center" wrapText="1" indent="1"/>
    </xf>
    <xf numFmtId="0" fontId="23" fillId="0" borderId="0" xfId="0" applyFont="1" applyNumberFormat="1">
      <alignment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77" fillId="0" borderId="0" xfId="0" applyFont="1" applyNumberFormat="1">
      <alignment horizontal="left" vertical="center" wrapText="1"/>
    </xf>
    <xf numFmtId="0" fontId="77" fillId="0" borderId="0" xfId="0" applyFont="1" applyNumberFormat="1">
      <alignment vertical="center" wrapText="1"/>
    </xf>
    <xf numFmtId="0" fontId="55" fillId="0" borderId="0" xfId="0" applyFont="1" applyNumberFormat="1">
      <alignment vertical="center"/>
    </xf>
    <xf numFmtId="49" fontId="77" fillId="0" borderId="0" xfId="0" applyFont="1" applyNumberFormat="1">
      <alignment horizontal="left" vertical="center"/>
    </xf>
    <xf numFmtId="0" fontId="54"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4"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5" fillId="0" borderId="0" xfId="0" applyFont="1" applyNumberFormat="1">
      <alignment vertical="center" wrapText="1"/>
    </xf>
    <xf numFmtId="0" fontId="23" fillId="0" borderId="19" xfId="0" applyFont="1" applyBorder="1" applyNumberFormat="1">
      <alignment vertical="center" wrapText="1"/>
    </xf>
    <xf numFmtId="0" fontId="0" fillId="0" borderId="14" xfId="0" applyFont="1" applyBorder="1" applyNumberFormat="1">
      <alignment horizontal="center" vertical="center" wrapText="1"/>
    </xf>
    <xf numFmtId="0" fontId="77" fillId="0" borderId="0" xfId="0" applyFont="1" applyNumberFormat="1">
      <alignment vertical="center" wrapText="1"/>
    </xf>
    <xf numFmtId="0" fontId="85" fillId="37" borderId="21" xfId="0" applyFont="1" applyFill="1" applyBorder="1" applyNumberFormat="1">
      <alignment horizontal="center" vertical="center" wrapText="1"/>
    </xf>
    <xf numFmtId="0" fontId="77" fillId="0" borderId="0" xfId="0" applyFont="1" applyNumberFormat="1">
      <alignment horizontal="left" vertical="center" indent="1"/>
    </xf>
    <xf numFmtId="0" fontId="55" fillId="0" borderId="0" xfId="0" applyFont="1" applyNumberFormat="1">
      <alignment vertical="center" wrapText="1"/>
    </xf>
    <xf numFmtId="0" fontId="77"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4" fontId="23" fillId="0" borderId="14" xfId="0" applyFont="1" applyBorder="1" applyNumberFormat="1">
      <alignment horizontal="right" vertical="center" wrapText="1"/>
    </xf>
    <xf numFmtId="0" fontId="0" fillId="37" borderId="21" xfId="0" applyFont="1" applyFill="1" applyBorder="1" applyNumberFormat="1">
      <alignment horizontal="center" vertical="center" wrapText="1"/>
    </xf>
    <xf numFmtId="0" fontId="55"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55" fillId="0" borderId="14" xfId="0" applyFont="1" applyBorder="1" applyNumberFormat="1">
      <alignment vertical="center" wrapText="1"/>
    </xf>
    <xf numFmtId="0" fontId="23" fillId="0" borderId="0" xfId="0" applyFont="1" applyNumberFormat="1">
      <alignment vertical="center"/>
    </xf>
    <xf numFmtId="0" fontId="55" fillId="0" borderId="25" xfId="0" applyFont="1" applyBorder="1" applyNumberFormat="1">
      <alignment horizontal="center" vertical="center" wrapText="1"/>
    </xf>
    <xf numFmtId="0" fontId="23" fillId="0" borderId="32" xfId="0" applyFont="1" applyBorder="1" applyNumberFormat="1">
      <alignment horizontal="center" vertical="center" wrapText="1"/>
    </xf>
    <xf numFmtId="0" fontId="55"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0" xfId="0" applyFont="1" applyFill="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9" fontId="55" fillId="0" borderId="0" xfId="0" applyFont="1" applyNumberFormat="1">
      <alignment vertical="center" wrapText="1"/>
    </xf>
    <xf numFmtId="0" fontId="0" fillId="0" borderId="0" xfId="0" applyFont="1" applyNumberFormat="1">
      <alignment horizontal="left" vertical="top" wrapText="1"/>
    </xf>
    <xf numFmtId="0" fontId="54" fillId="0" borderId="0" xfId="0" applyFont="1" applyNumberFormat="1">
      <alignment vertical="top" wrapText="1"/>
    </xf>
    <xf numFmtId="0" fontId="23" fillId="0" borderId="21" xfId="0" applyFont="1" applyBorder="1" applyNumberFormat="1">
      <alignment horizontal="left" vertical="center" wrapText="1" indent="1"/>
    </xf>
    <xf numFmtId="0" fontId="23" fillId="0" borderId="0" xfId="0" applyFont="1" applyNumberFormat="1">
      <alignment horizontal="left" vertical="center" wrapText="1"/>
    </xf>
    <xf numFmtId="0" fontId="23" fillId="43" borderId="22" xfId="0" applyFont="1" applyFill="1" applyBorder="1" applyNumberFormat="1">
      <alignment horizontal="left" vertical="center" wrapText="1"/>
    </xf>
    <xf numFmtId="0" fontId="23" fillId="0" borderId="0" xfId="0" applyFont="1" applyNumberFormat="1">
      <alignment horizontal="center" vertical="center" wrapText="1"/>
    </xf>
    <xf numFmtId="164" fontId="23" fillId="39" borderId="16" xfId="0" applyFont="1" applyFill="1" applyBorder="1" applyNumberFormat="1">
      <alignment horizontal="right" vertical="center" wrapText="1"/>
      <protection locked="0"/>
    </xf>
    <xf numFmtId="4" fontId="23" fillId="39" borderId="15" xfId="0" applyFont="1" applyFill="1" applyBorder="1" applyNumberFormat="1">
      <alignment horizontal="right" vertical="center" wrapText="1"/>
      <protection locked="0"/>
    </xf>
    <xf numFmtId="0" fontId="53" fillId="0" borderId="19" xfId="0" applyFont="1" applyBorder="1" applyNumberFormat="1">
      <alignment vertical="top" wrapText="1"/>
    </xf>
    <xf numFmtId="0" fontId="23" fillId="39" borderId="14" xfId="0" applyFont="1" applyFill="1" applyBorder="1" applyNumberFormat="1">
      <alignment horizontal="left" vertical="center" wrapText="1" indent="7"/>
      <protection locked="0"/>
    </xf>
    <xf numFmtId="49" fontId="0" fillId="42" borderId="14" xfId="0" applyFont="1" applyFill="1" applyBorder="1" applyNumberFormat="1">
      <alignment horizontal="center" vertical="center" wrapText="1"/>
      <protection locked="0"/>
    </xf>
    <xf numFmtId="4" fontId="55" fillId="0" borderId="16" xfId="0" applyFont="1" applyBorder="1" applyNumberFormat="1">
      <alignment horizontal="center" vertical="center" wrapText="1"/>
    </xf>
    <xf numFmtId="4" fontId="23" fillId="0" borderId="15" xfId="0" applyFont="1" applyBorder="1" applyNumberFormat="1">
      <alignment horizontal="right" vertical="center" wrapText="1"/>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14" xfId="0" applyFont="1" applyBorder="1" applyNumberFormat="1">
      <alignment horizontal="left" vertical="center" wrapText="1" indent="5"/>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45"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23" fillId="0" borderId="14" xfId="0" applyFont="1" applyBorder="1" applyNumberFormat="1">
      <alignment horizontal="left" vertical="center" wrapText="1" indent="4"/>
    </xf>
    <xf numFmtId="49" fontId="23" fillId="37" borderId="14" xfId="0" applyFont="1" applyFill="1" applyBorder="1" applyNumberFormat="1">
      <alignment horizontal="center" vertical="center" wrapText="1"/>
    </xf>
    <xf numFmtId="0" fontId="23" fillId="43" borderId="14" xfId="0" applyFont="1" applyFill="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0" fontId="23" fillId="37" borderId="38" xfId="0" applyFont="1" applyFill="1" applyBorder="1" applyNumberFormat="1">
      <alignment horizontal="left" vertical="center" wrapText="1"/>
    </xf>
    <xf numFmtId="49" fontId="23" fillId="42" borderId="38" xfId="0" applyFont="1" applyFill="1" applyBorder="1" applyNumberFormat="1">
      <alignment horizontal="left" vertical="center" wrapText="1" indent="6"/>
      <protection locked="0"/>
    </xf>
    <xf numFmtId="164" fontId="23" fillId="40" borderId="15" xfId="0" applyFont="1" applyFill="1" applyBorder="1" applyNumberFormat="1">
      <alignment horizontal="right" vertical="center" wrapText="1"/>
    </xf>
    <xf numFmtId="49" fontId="48" fillId="40" borderId="16" xfId="0" applyFont="1" applyFill="1" applyBorder="1" applyNumberFormat="1">
      <alignment horizontal="left" vertical="center"/>
    </xf>
    <xf numFmtId="164" fontId="23" fillId="40" borderId="17" xfId="0" applyFont="1" applyFill="1" applyBorder="1" applyNumberFormat="1">
      <alignment horizontal="right" vertical="center" wrapText="1"/>
    </xf>
    <xf numFmtId="4" fontId="23" fillId="0" borderId="38" xfId="0" applyFont="1" applyBorder="1" applyNumberFormat="1">
      <alignment horizontal="right" vertical="center" wrapText="1"/>
    </xf>
    <xf numFmtId="49" fontId="48" fillId="40" borderId="16" xfId="0" applyFont="1" applyFill="1" applyBorder="1" applyNumberFormat="1">
      <alignment horizontal="left" vertical="center" indent="1"/>
    </xf>
    <xf numFmtId="0" fontId="23" fillId="37" borderId="25" xfId="0" applyFont="1" applyFill="1" applyBorder="1" applyNumberFormat="1">
      <alignment horizontal="left" vertical="center" wrapText="1"/>
    </xf>
    <xf numFmtId="49" fontId="23" fillId="42" borderId="25" xfId="0" applyFont="1" applyFill="1" applyBorder="1" applyNumberFormat="1">
      <alignment horizontal="left" vertical="center" wrapText="1" indent="6"/>
      <protection locked="0"/>
    </xf>
    <xf numFmtId="4" fontId="55" fillId="40" borderId="15" xfId="0" applyFont="1" applyFill="1" applyBorder="1" applyNumberFormat="1">
      <alignment horizontal="center"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55" fillId="0" borderId="26" xfId="0" applyFont="1" applyBorder="1" applyNumberFormat="1">
      <alignment vertical="top"/>
    </xf>
    <xf numFmtId="0" fontId="116" fillId="0" borderId="0" xfId="0" applyFont="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26"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7"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4" fillId="0" borderId="0" xfId="0" applyFont="1" applyNumberFormat="1">
      <alignment horizontal="left" vertical="center"/>
    </xf>
    <xf numFmtId="0" fontId="55" fillId="0" borderId="0" xfId="0" applyFont="1" applyNumberFormat="1">
      <alignment horizontal="left" vertical="center"/>
    </xf>
    <xf numFmtId="0" fontId="74" fillId="37" borderId="0" xfId="0" applyFont="1" applyFill="1" applyNumberFormat="1">
      <alignment vertical="center" wrapText="1"/>
    </xf>
    <xf numFmtId="0" fontId="23" fillId="37" borderId="3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6"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14" xfId="0" applyFont="1" applyBorder="1" applyNumberFormat="1">
      <alignment horizontal="left" vertical="center" wrapText="1" indent="1"/>
    </xf>
    <xf numFmtId="0" fontId="23" fillId="0" borderId="14" xfId="0" applyFont="1" applyBorder="1" applyNumberFormat="1">
      <alignment horizontal="left" vertical="center" wrapText="1" indent="1"/>
    </xf>
    <xf numFmtId="49" fontId="23" fillId="40" borderId="16" xfId="0" applyFont="1" applyFill="1" applyBorder="1" applyNumberFormat="1">
      <alignment horizontal="center" vertical="center" wrapText="1"/>
    </xf>
    <xf numFmtId="49" fontId="77" fillId="0" borderId="26" xfId="0" applyFont="1" applyBorder="1" applyNumberFormat="1">
      <alignment vertical="top"/>
    </xf>
    <xf numFmtId="0" fontId="23" fillId="0" borderId="0" xfId="0" applyFont="1" applyNumberFormat="1">
      <alignment horizontal="left" vertical="top" wrapText="1"/>
    </xf>
    <xf numFmtId="0" fontId="74"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49" fontId="48" fillId="40" borderId="17" xfId="0" applyFont="1" applyFill="1" applyBorder="1" applyNumberFormat="1">
      <alignment horizontal="left" vertical="center" indent="3"/>
    </xf>
    <xf numFmtId="0" fontId="55" fillId="0" borderId="0" xfId="0" applyFont="1" applyNumberFormat="1">
      <alignment horizontal="center" vertical="center"/>
    </xf>
    <xf numFmtId="0" fontId="54" fillId="0" borderId="0" xfId="0" applyFont="1" applyNumberFormat="1">
      <alignment horizontal="center" vertical="center" wrapText="1"/>
    </xf>
    <xf numFmtId="0" fontId="115" fillId="0" borderId="0" xfId="0" applyFont="1" applyNumberFormat="1">
      <alignment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8" borderId="17" xfId="0" applyFont="1" applyFill="1" applyBorder="1" applyNumberFormat="1">
      <alignment horizontal="left" vertical="center" wrapText="1"/>
    </xf>
    <xf numFmtId="0" fontId="54" fillId="0" borderId="0" xfId="0" applyFont="1" applyNumberFormat="1">
      <alignment horizontal="center" vertical="center" wrapText="1"/>
    </xf>
    <xf numFmtId="0" fontId="55" fillId="0" borderId="17" xfId="0" applyFont="1" applyBorder="1" applyNumberFormat="1">
      <alignment horizontal="left" vertical="center" wrapText="1"/>
    </xf>
    <xf numFmtId="49" fontId="23" fillId="43" borderId="14" xfId="0" applyFont="1" applyFill="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23" fillId="43" borderId="17"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77"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5" fillId="0" borderId="29" xfId="0" applyFont="1" applyBorder="1" applyNumberFormat="1">
      <alignment horizontal="center" vertical="center" wrapText="1"/>
    </xf>
    <xf numFmtId="0" fontId="23" fillId="42" borderId="15"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0" fontId="55" fillId="0" borderId="0" xfId="0" applyFont="1" applyNumberFormat="1">
      <alignment horizontal="center" vertical="center" wrapText="1"/>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23" fillId="39" borderId="38" xfId="0" applyFont="1" applyFill="1" applyBorder="1" applyNumberFormat="1">
      <alignment horizontal="left" vertical="center" wrapText="1" indent="6"/>
      <protection locked="0"/>
    </xf>
    <xf numFmtId="49" fontId="23" fillId="43" borderId="31" xfId="0" applyFont="1" applyFill="1" applyBorder="1" applyNumberFormat="1">
      <alignment horizontal="center" vertical="center" wrapText="1"/>
    </xf>
    <xf numFmtId="49" fontId="48" fillId="40" borderId="29" xfId="0" applyFont="1" applyFill="1" applyBorder="1" applyNumberFormat="1">
      <alignment horizontal="left" vertical="center"/>
    </xf>
    <xf numFmtId="49" fontId="23" fillId="39" borderId="25" xfId="0" applyFont="1" applyFill="1" applyBorder="1" applyNumberFormat="1">
      <alignment horizontal="left" vertical="center" wrapText="1" indent="6"/>
      <protection locked="0"/>
    </xf>
    <xf numFmtId="0" fontId="55" fillId="0" borderId="0" xfId="0" applyFont="1" applyNumberFormat="1">
      <alignment horizontal="center" vertical="center"/>
    </xf>
    <xf numFmtId="0" fontId="55" fillId="0" borderId="0" xfId="0" applyFont="1" applyNumberFormat="1">
      <alignment horizontal="left" vertical="center" wrapText="1" indent="1"/>
    </xf>
    <xf numFmtId="0" fontId="23" fillId="37" borderId="14" xfId="0" applyFont="1" applyFill="1" applyBorder="1" applyNumberFormat="1">
      <alignment horizontal="center" vertical="center" wrapText="1"/>
    </xf>
    <xf numFmtId="0" fontId="55" fillId="0" borderId="21" xfId="0" applyFont="1" applyBorder="1" applyNumberFormat="1">
      <alignment horizontal="lef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49" fontId="23" fillId="43"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55" fillId="0" borderId="14" xfId="0" applyFont="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center" wrapText="1"/>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4" fontId="23" fillId="0" borderId="14" xfId="0" applyFont="1" applyBorder="1" applyNumberFormat="1">
      <alignment horizontal="right" vertical="center" wrapText="1"/>
    </xf>
    <xf numFmtId="49" fontId="0" fillId="42" borderId="14"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55" fillId="0" borderId="0" xfId="0" applyFont="1" applyNumberFormat="1">
      <alignment horizontal="center" vertical="center" wrapText="1"/>
    </xf>
    <xf numFmtId="0" fontId="54" fillId="0" borderId="0" xfId="0" applyFont="1" applyNumberFormat="1">
      <alignment vertical="center" wrapText="1"/>
    </xf>
    <xf numFmtId="49" fontId="54" fillId="0" borderId="14" xfId="0" applyFont="1" applyBorder="1" applyNumberFormat="1">
      <alignment vertical="center" wrapText="1"/>
    </xf>
    <xf numFmtId="0" fontId="54" fillId="0" borderId="0" xfId="0" applyFont="1" applyNumberFormat="1">
      <alignment vertical="center"/>
    </xf>
    <xf numFmtId="0" fontId="23" fillId="0" borderId="21" xfId="0" applyFont="1" applyBorder="1" applyNumberFormat="1">
      <alignment horizontal="left" vertical="top" wrapText="1" inden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23" fillId="38" borderId="14" xfId="0" applyFont="1" applyFill="1" applyBorder="1" applyNumberFormat="1">
      <alignment horizontal="left" vertical="center" wrapText="1" indent="1"/>
    </xf>
    <xf numFmtId="167" fontId="23" fillId="38" borderId="14" xfId="0" applyFont="1" applyFill="1" applyBorder="1" applyNumberFormat="1">
      <alignment horizontal="left" vertical="center" wrapText="1" indent="1"/>
    </xf>
    <xf numFmtId="0" fontId="55" fillId="0" borderId="0" xfId="0" applyFont="1" applyNumberFormat="1">
      <alignment vertical="center" wrapText="1"/>
    </xf>
    <xf numFmtId="0" fontId="45" fillId="0" borderId="29" xfId="0" applyFont="1" applyBorder="1" applyNumberFormat="1">
      <alignment horizontal="center" vertical="center" wrapText="1"/>
    </xf>
    <xf numFmtId="0" fontId="23" fillId="0" borderId="14" xfId="0" applyFont="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23"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23" fillId="0" borderId="39"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37" borderId="38" xfId="0" applyFont="1" applyFill="1" applyBorder="1" applyNumberFormat="1">
      <alignment horizontal="center" vertical="center" wrapText="1"/>
    </xf>
    <xf numFmtId="0" fontId="54" fillId="0" borderId="0" xfId="0" applyFont="1" applyNumberFormat="1">
      <alignment horizontal="center" vertical="center" wrapText="1"/>
    </xf>
    <xf numFmtId="0" fontId="23" fillId="0" borderId="32"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0" xfId="0" applyFont="1" applyFill="1" applyNumberFormat="1">
      <alignment horizontal="center" vertical="center" wrapText="1"/>
    </xf>
    <xf numFmtId="167" fontId="0" fillId="42" borderId="19" xfId="0" applyFont="1" applyFill="1" applyBorder="1" applyNumberFormat="1">
      <alignment horizontal="center" vertical="center" wrapText="1"/>
      <protection locked="0"/>
    </xf>
    <xf numFmtId="49" fontId="0" fillId="42" borderId="25"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0" fillId="0" borderId="0" xfId="0" applyFont="1" applyNumberFormat="1">
      <alignment vertical="top"/>
    </xf>
    <xf numFmtId="0" fontId="54" fillId="0" borderId="0" xfId="0" applyFont="1" applyNumberFormat="1">
      <alignment horizontal="left" vertical="center" indent="1"/>
    </xf>
    <xf numFmtId="0" fontId="54" fillId="0" borderId="16" xfId="0" applyFont="1" applyBorder="1" applyNumberFormat="1">
      <alignment horizontal="center" vertical="center"/>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xf>
    <xf numFmtId="0" fontId="23" fillId="37" borderId="14" xfId="0" applyFont="1" applyFill="1" applyBorder="1" applyNumberFormat="1">
      <alignment horizontal="left" vertical="center" wrapText="1" indent="1"/>
    </xf>
    <xf numFmtId="0" fontId="23" fillId="0" borderId="14" xfId="0" applyFont="1" applyBorder="1" applyNumberFormat="1">
      <alignment horizontal="left" vertical="center" wrapText="1" indent="6"/>
    </xf>
    <xf numFmtId="0" fontId="53" fillId="0" borderId="14" xfId="0" applyFont="1" applyBorder="1" applyNumberFormat="1">
      <alignment vertical="top" wrapText="1"/>
    </xf>
    <xf numFmtId="0" fontId="55" fillId="0" borderId="0" xfId="0" applyFont="1" applyNumberFormat="1">
      <alignment vertical="center"/>
    </xf>
    <xf numFmtId="49" fontId="0" fillId="0" borderId="0" xfId="0" applyFont="1" applyNumberFormat="1">
      <alignment vertical="top"/>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49" fontId="0" fillId="0" borderId="0" xfId="0" applyFont="1" applyNumberFormat="1">
      <alignment vertical="top"/>
    </xf>
    <xf numFmtId="0" fontId="54" fillId="0" borderId="14" xfId="0" applyFont="1" applyBorder="1" applyNumberFormat="1">
      <alignment horizontal="center" vertical="center" wrapText="1"/>
    </xf>
    <xf numFmtId="49" fontId="54" fillId="0" borderId="0" xfId="0" applyFont="1" applyNumberFormat="1">
      <alignment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0" fillId="0" borderId="0" xfId="0" applyFont="1" applyNumberFormat="1">
      <alignment vertical="top"/>
    </xf>
    <xf numFmtId="0" fontId="54" fillId="0" borderId="16" xfId="0" applyFont="1" applyBorder="1" applyNumberFormat="1">
      <alignment horizontal="center"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53" fillId="0" borderId="19" xfId="0" applyFont="1" applyBorder="1" applyNumberFormat="1">
      <alignment vertical="top" wrapText="1"/>
    </xf>
    <xf numFmtId="49" fontId="0" fillId="0" borderId="0" xfId="0" applyFont="1" applyNumberFormat="1">
      <alignment vertical="top"/>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0" fillId="0" borderId="0" xfId="0" applyFont="1" applyNumberFormat="1">
      <alignment vertical="top"/>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23" fillId="0" borderId="0" xfId="0" applyFont="1" applyNumberFormat="1">
      <alignment vertical="top"/>
    </xf>
    <xf numFmtId="49" fontId="47" fillId="0" borderId="0" xfId="0" applyFont="1" applyNumberFormat="1">
      <alignment vertical="top"/>
    </xf>
    <xf numFmtId="49" fontId="23" fillId="0" borderId="26" xfId="0" applyFont="1" applyBorder="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49" fontId="55" fillId="0" borderId="0" xfId="0" applyFont="1" applyNumberFormat="1">
      <alignment horizontal="left" vertical="center"/>
    </xf>
    <xf numFmtId="49" fontId="55" fillId="0" borderId="0" xfId="0" applyFont="1" applyNumberFormat="1">
      <alignment vertical="top"/>
    </xf>
    <xf numFmtId="49" fontId="112" fillId="0" borderId="0" xfId="0" applyFont="1" applyNumberFormat="1">
      <alignment vertical="top"/>
    </xf>
    <xf numFmtId="49" fontId="102" fillId="0" borderId="0" xfId="0" applyFont="1" applyNumberFormat="1">
      <alignment horizontal="left" vertical="center"/>
    </xf>
    <xf numFmtId="49" fontId="55" fillId="0" borderId="0" xfId="0" applyFont="1" applyNumberFormat="1">
      <alignment horizontal="left" vertical="center" inden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49" fontId="0" fillId="0" borderId="0" xfId="0" applyFont="1" applyNumberFormat="1">
      <alignment vertical="top"/>
    </xf>
    <xf numFmtId="49" fontId="23" fillId="0" borderId="0" xfId="0" applyFont="1" applyNumberFormat="1">
      <alignment vertical="center" wrapText="1"/>
    </xf>
    <xf numFmtId="0" fontId="23" fillId="0" borderId="14" xfId="0" applyFont="1" applyBorder="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0" fontId="6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0" fontId="68" fillId="0" borderId="0" xfId="0" applyFont="1" applyNumberFormat="1">
      <alignmen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49"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0" fontId="23" fillId="0" borderId="14" xfId="0" applyFont="1" applyBorder="1" applyNumberFormat="1">
      <alignment horizontal="center" vertical="center" wrapText="1"/>
    </xf>
    <xf numFmtId="0" fontId="23" fillId="0" borderId="14" xfId="0" applyFont="1" applyBorder="1" applyNumberFormat="1">
      <alignment vertical="center" wrapText="1"/>
    </xf>
    <xf numFmtId="0" fontId="89" fillId="0" borderId="0" xfId="0" applyFont="1" applyNumberFormat="1">
      <alignment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4" fontId="23" fillId="39" borderId="14" xfId="0" applyFont="1" applyFill="1" applyBorder="1" applyNumberFormat="1">
      <alignment horizontal="right" vertical="center" wrapText="1"/>
      <protection locked="0"/>
    </xf>
    <xf numFmtId="0" fontId="23" fillId="39" borderId="14" xfId="0" applyFont="1" applyFill="1" applyBorder="1" applyNumberFormat="1">
      <alignment horizontal="left" vertical="center" wrapText="1"/>
      <protection locked="0"/>
    </xf>
    <xf numFmtId="49" fontId="96" fillId="0" borderId="0" xfId="0" applyFont="1" applyNumberFormat="1">
      <alignment horizontal="center" vertical="center" wrapText="1"/>
    </xf>
    <xf numFmtId="49" fontId="23" fillId="0" borderId="0" xfId="0" applyFont="1" applyNumberFormat="1">
      <alignment horizontal="center" vertical="top" wrapText="1"/>
    </xf>
    <xf numFmtId="0" fontId="23" fillId="0" borderId="14" xfId="0" applyFont="1" applyBorder="1" applyNumberFormat="1">
      <alignment horizontal="center" vertical="center" wrapText="1"/>
    </xf>
    <xf numFmtId="0" fontId="23" fillId="0" borderId="15" xfId="0" applyFont="1" applyBorder="1" applyNumberFormat="1">
      <alignment vertical="top" wrapText="1"/>
    </xf>
    <xf numFmtId="0" fontId="59" fillId="0" borderId="0" xfId="0" applyFont="1" applyNumberFormat="1">
      <alignment vertical="center" wrapText="1"/>
    </xf>
    <xf numFmtId="0" fontId="23" fillId="0" borderId="15" xfId="0" applyFont="1" applyBorder="1" applyNumberFormat="1">
      <alignment horizontal="center" vertical="center" wrapText="1"/>
    </xf>
    <xf numFmtId="166" fontId="23" fillId="39" borderId="14" xfId="0" applyFont="1" applyFill="1" applyBorder="1" applyNumberFormat="1">
      <alignment horizontal="right" vertical="center" wrapText="1"/>
      <protection locked="0"/>
    </xf>
    <xf numFmtId="0" fontId="23" fillId="0" borderId="22" xfId="0" applyFont="1" applyBorder="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2" fillId="37" borderId="0" xfId="0" applyFont="1" applyFill="1" applyNumberFormat="1">
      <alignment horizontal="right" vertical="center"/>
    </xf>
    <xf numFmtId="0" fontId="23" fillId="0" borderId="16" xfId="0" applyFont="1" applyBorder="1" applyNumberFormat="1">
      <alignment vertical="center"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0" fontId="45" fillId="0" borderId="0" xfId="0" applyFont="1" applyNumberFormat="1">
      <alignment horizontal="center" vertical="center" wrapText="1"/>
    </xf>
    <xf numFmtId="49" fontId="23" fillId="40" borderId="16" xfId="0" applyFont="1" applyFill="1" applyBorder="1" applyNumberFormat="1">
      <alignment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14" xfId="0" applyFont="1" applyBorder="1" applyNumberFormat="1">
      <alignment horizontal="left" vertical="center" wrapText="1" indent="2"/>
    </xf>
    <xf numFmtId="14" fontId="23" fillId="0" borderId="0" xfId="0" applyFont="1" applyNumberFormat="1">
      <alignment horizontal="center" vertical="center" wrapText="1"/>
    </xf>
    <xf numFmtId="49" fontId="96" fillId="48" borderId="0" xfId="0" applyFont="1" applyFill="1" applyNumberFormat="1">
      <alignment horizontal="center" vertical="center" wrapText="1"/>
    </xf>
    <xf numFmtId="49" fontId="36" fillId="0" borderId="0" xfId="0" applyFont="1" applyNumberFormat="1">
      <alignment horizontal="center" vertical="center"/>
    </xf>
    <xf numFmtId="166" fontId="23" fillId="42" borderId="14" xfId="0" applyFont="1" applyFill="1" applyBorder="1" applyNumberFormat="1">
      <alignment horizontal="right" vertical="center" wrapText="1"/>
      <protection locked="0"/>
    </xf>
    <xf numFmtId="0" fontId="54" fillId="0" borderId="0" xfId="0" applyFont="1" applyNumberFormat="1">
      <alignment horizontal="left" vertical="center" wrapText="1"/>
    </xf>
    <xf numFmtId="49" fontId="96" fillId="0" borderId="0" xfId="0" applyFont="1" applyNumberFormat="1">
      <alignment horizontal="left" vertical="center" wrapText="1"/>
    </xf>
    <xf numFmtId="0" fontId="55" fillId="0" borderId="0" xfId="0" applyFont="1" applyNumberFormat="1">
      <alignment horizontal="left" vertical="center" wrapText="1"/>
    </xf>
    <xf numFmtId="49" fontId="23"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43" borderId="14" xfId="0" applyFont="1" applyFill="1" applyBorder="1" applyNumberFormat="1">
      <alignment horizontal="left" vertical="center" wrapText="1"/>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4" fontId="23" fillId="42" borderId="15" xfId="0" applyFont="1" applyFill="1" applyBorder="1" applyNumberFormat="1">
      <alignment horizontal="right" vertical="center" wrapText="1"/>
      <protection locked="0"/>
    </xf>
    <xf numFmtId="49" fontId="34" fillId="39" borderId="15" xfId="0" applyFont="1" applyFill="1" applyBorder="1" applyNumberFormat="1">
      <alignment horizontal="left" vertical="center" wrapText="1"/>
      <protection locked="0"/>
    </xf>
    <xf numFmtId="49" fontId="34" fillId="39" borderId="14" xfId="0" applyFont="1" applyFill="1" applyBorder="1" applyNumberFormat="1">
      <alignment horizontal="left" vertical="center" wrapText="1"/>
      <protection locked="0"/>
    </xf>
    <xf numFmtId="0" fontId="54" fillId="0" borderId="0" xfId="0" applyFont="1" applyNumberFormat="1">
      <alignment vertical="center" wrapText="1"/>
    </xf>
    <xf numFmtId="0" fontId="55" fillId="0" borderId="0" xfId="0" applyFont="1" applyNumberFormat="1">
      <alignment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166" fontId="23" fillId="42" borderId="15" xfId="0" applyFont="1" applyFill="1" applyBorder="1" applyNumberFormat="1">
      <alignment horizontal="right" vertical="center" wrapText="1"/>
      <protection locked="0"/>
    </xf>
    <xf numFmtId="0" fontId="89"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4" fillId="0" borderId="0" xfId="0" applyFont="1" applyNumberFormat="1">
      <alignment vertical="center" wrapText="1"/>
    </xf>
    <xf numFmtId="166" fontId="23" fillId="38" borderId="15" xfId="0" applyFont="1" applyFill="1" applyBorder="1" applyNumberFormat="1">
      <alignment horizontal="right" vertical="center" wrapText="1"/>
    </xf>
    <xf numFmtId="166" fontId="23" fillId="38" borderId="14" xfId="0" applyFont="1" applyFill="1" applyBorder="1" applyNumberFormat="1">
      <alignment horizontal="right" vertical="center" wrapText="1"/>
    </xf>
    <xf numFmtId="49" fontId="96" fillId="48" borderId="0" xfId="0" applyFont="1" applyFill="1" applyNumberFormat="1">
      <alignment horizontal="center" vertical="center" textRotation="90" wrapText="1"/>
    </xf>
    <xf numFmtId="0" fontId="23" fillId="42" borderId="14" xfId="0" applyFont="1" applyFill="1" applyBorder="1" applyNumberFormat="1">
      <alignment horizontal="center" vertical="center" wrapText="1"/>
      <protection locked="0"/>
    </xf>
    <xf numFmtId="4" fontId="23" fillId="42" borderId="31"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166" fontId="23" fillId="42" borderId="19" xfId="0" applyFont="1" applyFill="1" applyBorder="1" applyNumberFormat="1">
      <alignment horizontal="right" vertical="center" wrapText="1"/>
      <protection locked="0"/>
    </xf>
    <xf numFmtId="0" fontId="55" fillId="0" borderId="25" xfId="0" applyFont="1" applyBorder="1" applyNumberFormat="1">
      <alignment horizontal="left" vertical="center" wrapText="1" indent="1"/>
    </xf>
    <xf numFmtId="0" fontId="55" fillId="0" borderId="19" xfId="0" applyFont="1" applyBorder="1" applyNumberFormat="1">
      <alignment horizontal="center" vertical="center" wrapText="1"/>
    </xf>
    <xf numFmtId="0" fontId="45" fillId="0" borderId="0" xfId="0" applyFont="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25" xfId="0" applyFont="1" applyBorder="1" applyNumberFormat="1">
      <alignment vertical="top" wrapText="1"/>
    </xf>
    <xf numFmtId="0" fontId="55" fillId="0" borderId="19" xfId="0" applyFont="1" applyBorder="1" applyNumberFormat="1">
      <alignment horizontal="left" vertical="center" wrapText="1" indent="1"/>
    </xf>
    <xf numFmtId="49" fontId="34" fillId="39" borderId="14"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9" fillId="0" borderId="0" xfId="0" applyFont="1" applyNumberFormat="1">
      <alignment vertical="center"/>
    </xf>
    <xf numFmtId="0" fontId="96" fillId="0" borderId="0" xfId="0" applyFont="1" applyNumberFormat="1">
      <alignment vertical="center" wrapText="1"/>
    </xf>
    <xf numFmtId="49" fontId="96" fillId="0" borderId="0" xfId="0" applyFont="1" applyNumberFormat="1">
      <alignment horizontal="center" vertical="center" wrapText="1"/>
    </xf>
    <xf numFmtId="0" fontId="23" fillId="0" borderId="0" xfId="0" applyFont="1" applyNumberFormat="1">
      <alignment vertical="center" wrapText="1"/>
    </xf>
    <xf numFmtId="0" fontId="59" fillId="0" borderId="0" xfId="0" applyFont="1" applyNumberFormat="1">
      <alignment vertical="center" wrapText="1"/>
    </xf>
    <xf numFmtId="0" fontId="23" fillId="0" borderId="21" xfId="0" applyFont="1" applyBorder="1" applyNumberFormat="1">
      <alignment vertical="center" wrapText="1"/>
    </xf>
    <xf numFmtId="0" fontId="23" fillId="0" borderId="0" xfId="0" applyFont="1" applyNumberFormat="1">
      <alignment horizontal="center" vertical="center" wrapText="1"/>
    </xf>
    <xf numFmtId="49" fontId="40" fillId="0" borderId="0" xfId="0" applyFont="1" applyNumberFormat="1">
      <alignment horizontal="center" vertical="center" wrapText="1"/>
    </xf>
    <xf numFmtId="0" fontId="23" fillId="0" borderId="29" xfId="0" applyFont="1" applyBorder="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36" fillId="0" borderId="0" xfId="0" applyFont="1" applyNumberFormat="1">
      <alignment horizontal="center" vertical="center" wrapText="1"/>
    </xf>
    <xf numFmtId="49" fontId="68" fillId="0" borderId="0" xfId="0" applyFont="1" applyNumberFormat="1">
      <alignment horizontal="center" vertical="center" wrapText="1"/>
    </xf>
    <xf numFmtId="0" fontId="77" fillId="0" borderId="0" xfId="0" applyFont="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68" fillId="0" borderId="0" xfId="0" applyFont="1" applyNumberFormat="1">
      <alignment vertical="center" wrapText="1"/>
    </xf>
    <xf numFmtId="0" fontId="76" fillId="0" borderId="0" xfId="0" applyFont="1" applyNumberFormat="1">
      <alignment vertical="center" wrapText="1"/>
    </xf>
    <xf numFmtId="0" fontId="23" fillId="0" borderId="14" xfId="0" applyFont="1" applyBorder="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center" vertical="center" wrapText="1"/>
    </xf>
    <xf numFmtId="0" fontId="23" fillId="0" borderId="0" xfId="0" applyFont="1" applyNumberFormat="1">
      <alignment vertical="center" wrapText="1"/>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19" xfId="0" applyFont="1" applyBorder="1" applyNumberFormat="1">
      <alignment horizontal="center" vertical="center" wrapText="1"/>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38" borderId="14" xfId="0" applyFont="1" applyFill="1" applyBorder="1" applyNumberFormat="1">
      <alignment horizontal="left" vertical="center" wrapText="1" indent="1"/>
    </xf>
    <xf numFmtId="0" fontId="23" fillId="0" borderId="15" xfId="0" applyFont="1" applyBorder="1" applyNumberFormat="1">
      <alignment horizontal="left" vertical="center" wrapText="1" indent="1"/>
    </xf>
    <xf numFmtId="49" fontId="55" fillId="0" borderId="24" xfId="0" applyFont="1" applyBorder="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0" fontId="54" fillId="0" borderId="0" xfId="0" applyFont="1" applyNumberFormat="1">
      <alignment horizontal="center"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49" fontId="55"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25" xfId="0" applyFont="1" applyBorder="1" applyNumberFormat="1">
      <alignment horizontal="left" vertical="center" wrapText="1"/>
    </xf>
    <xf numFmtId="2" fontId="23" fillId="0" borderId="25" xfId="0" applyFont="1" applyBorder="1" applyNumberFormat="1">
      <alignment horizontal="center" vertical="center" wrapText="1"/>
    </xf>
    <xf numFmtId="0" fontId="23" fillId="0" borderId="14" xfId="0" applyFont="1" applyBorder="1" applyNumberFormat="1">
      <alignment horizontal="left" vertical="center" wrapText="1"/>
    </xf>
    <xf numFmtId="49" fontId="55" fillId="0" borderId="24" xfId="0" applyFont="1" applyBorder="1" applyNumberFormat="1">
      <alignment vertical="top"/>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24" xfId="0" applyFont="1" applyBorder="1" applyNumberFormat="1">
      <alignmen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23" fillId="0" borderId="25" xfId="0" applyFont="1" applyBorder="1" applyNumberFormat="1">
      <alignment horizontal="left" vertical="center" wrapText="1"/>
    </xf>
    <xf numFmtId="0" fontId="23" fillId="0" borderId="14" xfId="0" applyFont="1" applyBorder="1" applyNumberFormat="1">
      <alignment horizontal="left" vertical="center" wrapText="1"/>
    </xf>
    <xf numFmtId="0" fontId="54" fillId="0" borderId="0" xfId="0" applyFont="1" applyNumberFormat="1">
      <alignment horizontal="center" vertical="top"/>
    </xf>
    <xf numFmtId="0" fontId="55" fillId="0" borderId="0" xfId="0" applyFont="1" applyNumberFormat="1">
      <alignment horizontal="center" vertical="center" wrapText="1"/>
    </xf>
    <xf numFmtId="49" fontId="55" fillId="0" borderId="25" xfId="0" applyFont="1" applyBorder="1" applyNumberFormat="1">
      <alignment horizontal="center" vertical="center" wrapText="1"/>
    </xf>
    <xf numFmtId="49" fontId="48" fillId="0" borderId="21"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53" fillId="0" borderId="0" xfId="0" applyFont="1" applyNumberFormat="1">
      <alignment horizontal="left" vertical="top" wrapText="1"/>
    </xf>
    <xf numFmtId="49" fontId="40" fillId="0" borderId="0" xfId="0" applyFont="1" applyNumberFormat="1">
      <alignment horizontal="center" vertical="center" wrapText="1"/>
    </xf>
    <xf numFmtId="0" fontId="55" fillId="0" borderId="0" xfId="0" applyFont="1" applyNumberFormat="1">
      <alignment vertical="center" wrapText="1"/>
    </xf>
    <xf numFmtId="0" fontId="40"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55" fillId="0" borderId="16" xfId="0" applyFont="1" applyBorder="1" applyNumberFormat="1">
      <alignment vertical="center" wrapTex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55" fillId="0" borderId="16" xfId="0" applyFont="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14" xfId="0" applyFont="1" applyBorder="1" applyNumberFormat="1">
      <alignment horizontal="left" vertical="center" wrapText="1"/>
    </xf>
    <xf numFmtId="49" fontId="23" fillId="0" borderId="61" xfId="0" applyFont="1" applyBorder="1" applyNumberFormat="1">
      <alignment horizontal="center" vertical="center" wrapText="1"/>
    </xf>
    <xf numFmtId="0" fontId="23"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5"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9" fontId="48" fillId="40" borderId="21" xfId="0" applyFont="1" applyFill="1" applyBorder="1" applyNumberFormat="1">
      <alignment horizontal="left" vertical="center" indent="2"/>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9" xfId="0" applyFont="1" applyBorder="1" applyNumberFormat="1">
      <alignment horizontal="left" vertical="center" wrapText="1"/>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9" xfId="0" applyFont="1" applyBorder="1" applyNumberFormat="1">
      <alignment horizontal="left" vertical="center" wrapText="1" indent="1"/>
    </xf>
    <xf numFmtId="0" fontId="23" fillId="0" borderId="19"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left" vertical="center" wrapText="1" inden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horizontal="left" vertical="top"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9" fontId="23" fillId="58" borderId="0" xfId="0" applyFont="1" applyFill="1" applyNumberFormat="1">
      <alignment horizontal="center" vertical="center" textRotation="90"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76" fillId="0" borderId="24" xfId="0" applyFont="1" applyBorder="1" applyNumberFormat="1">
      <alignment vertical="center" wrapText="1"/>
    </xf>
    <xf numFmtId="49"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23" fillId="0" borderId="14" xfId="0" applyFont="1" applyBorder="1" applyNumberFormat="1">
      <alignment horizontal="center" vertical="center" wrapText="1"/>
    </xf>
    <xf numFmtId="49" fontId="23" fillId="39" borderId="14" xfId="0" applyFont="1" applyFill="1" applyBorder="1" applyNumberFormat="1">
      <alignment horizontal="left" vertical="center" wrapText="1"/>
      <protection locked="0"/>
    </xf>
    <xf numFmtId="3" fontId="23" fillId="39" borderId="16" xfId="0" applyFont="1" applyFill="1" applyBorder="1" applyNumberFormat="1">
      <alignment horizontal="right" vertical="center" wrapText="1"/>
      <protection locked="0"/>
    </xf>
    <xf numFmtId="4" fontId="23" fillId="39" borderId="16" xfId="0" applyFont="1" applyFill="1" applyBorder="1" applyNumberFormat="1">
      <alignment horizontal="right" vertical="center" wrapText="1"/>
      <protection locked="0"/>
    </xf>
    <xf numFmtId="49" fontId="23" fillId="42" borderId="14"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88" fillId="0" borderId="0" xfId="0" applyFont="1" applyNumberFormat="1">
      <alignment vertical="center" wrapText="1"/>
    </xf>
    <xf numFmtId="0" fontId="23" fillId="0" borderId="14" xfId="0" applyFont="1" applyBorder="1" applyNumberFormat="1">
      <alignment horizontal="left" vertical="center" wrapText="1" indent="2"/>
    </xf>
    <xf numFmtId="3" fontId="53" fillId="39" borderId="14" xfId="0" applyFont="1" applyFill="1" applyBorder="1" applyNumberFormat="1">
      <alignment horizontal="right" vertical="center"/>
      <protection locked="0"/>
    </xf>
    <xf numFmtId="49" fontId="23" fillId="39" borderId="16" xfId="0" applyFont="1" applyFill="1" applyBorder="1" applyNumberFormat="1">
      <alignment horizontal="left" vertical="center" wrapText="1"/>
      <protection locked="0"/>
    </xf>
    <xf numFmtId="0" fontId="53"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4" xfId="0" applyFont="1" applyBorder="1" applyNumberFormat="1">
      <alignment horizontal="left" vertical="center" wrapText="1"/>
    </xf>
    <xf numFmtId="49" fontId="23" fillId="0" borderId="34" xfId="0" applyFont="1" applyBorder="1" applyNumberFormat="1">
      <alignment horizontal="center" vertical="center" wrapText="1"/>
    </xf>
    <xf numFmtId="0" fontId="23" fillId="0" borderId="34" xfId="0" applyFont="1" applyBorder="1" applyNumberFormat="1">
      <alignment horizontal="left" vertical="center" wrapText="1"/>
    </xf>
    <xf numFmtId="4" fontId="23" fillId="0" borderId="42" xfId="0" applyFont="1" applyBorder="1" applyNumberFormat="1">
      <alignment horizontal="center" vertical="center" wrapText="1"/>
    </xf>
    <xf numFmtId="49" fontId="34" fillId="0" borderId="32"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5"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34" fillId="0" borderId="16" xfId="0" applyFont="1" applyBorder="1" applyNumberFormat="1">
      <alignment horizontal="left" vertical="center" wrapText="1"/>
    </xf>
    <xf numFmtId="4" fontId="23" fillId="0" borderId="19"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0" fontId="23" fillId="0" borderId="35" xfId="0" applyFont="1" applyBorder="1" applyNumberFormat="1">
      <alignment horizontal="left" vertical="center" wrapText="1"/>
    </xf>
    <xf numFmtId="49" fontId="34" fillId="0" borderId="17"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0" borderId="34"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2"/>
    </xf>
    <xf numFmtId="4" fontId="23" fillId="0" borderId="33" xfId="0" applyFont="1" applyBorder="1" applyNumberFormat="1">
      <alignment horizontal="center" vertical="center" wrapText="1"/>
    </xf>
    <xf numFmtId="49" fontId="23" fillId="0" borderId="36" xfId="0" applyFont="1" applyBorder="1" applyNumberFormat="1">
      <alignment horizontal="center" vertical="center" wrapText="1"/>
    </xf>
    <xf numFmtId="49" fontId="34" fillId="42" borderId="14"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 fontId="23" fillId="0" borderId="37" xfId="0" applyFont="1" applyBorder="1" applyNumberFormat="1">
      <alignment horizontal="center" vertical="center" wrapText="1"/>
    </xf>
    <xf numFmtId="49" fontId="34" fillId="0" borderId="39" xfId="0" applyFont="1" applyBorder="1" applyNumberFormat="1">
      <alignment horizontal="left" vertical="center" wrapText="1"/>
    </xf>
    <xf numFmtId="49" fontId="23" fillId="0" borderId="35"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 fontId="23" fillId="42" borderId="36" xfId="0" applyFont="1" applyFill="1" applyBorder="1" applyNumberFormat="1">
      <alignment horizontal="right" vertical="center" wrapText="1"/>
      <protection locked="0"/>
    </xf>
    <xf numFmtId="49" fontId="34" fillId="42" borderId="16" xfId="0" applyFont="1" applyFill="1" applyBorder="1" applyNumberFormat="1">
      <alignment horizontal="left" vertical="center" wrapText="1"/>
      <protection locked="0"/>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0" fillId="0" borderId="16" xfId="0" applyFont="1" applyBorder="1" applyNumberFormat="1">
      <alignment horizontal="center" vertical="center"/>
    </xf>
    <xf numFmtId="0" fontId="23" fillId="0" borderId="15" xfId="0" applyFont="1" applyBorder="1" applyNumberFormat="1">
      <alignment horizontal="center" vertical="center" wrapText="1"/>
    </xf>
    <xf numFmtId="167" fontId="0" fillId="39"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44" fillId="0" borderId="0" xfId="0" applyFont="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0" borderId="15"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5" xfId="0" applyFont="1" applyBorder="1" applyNumberFormat="1">
      <alignment horizontal="center"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vertical="center" wrapText="1"/>
    </xf>
    <xf numFmtId="0" fontId="23" fillId="40" borderId="29" xfId="0" applyFont="1" applyFill="1" applyBorder="1" applyNumberFormat="1">
      <alignment vertical="center" wrapText="1"/>
    </xf>
    <xf numFmtId="0" fontId="44" fillId="0" borderId="0" xfId="0" applyFont="1" applyNumberFormat="1">
      <alignment horizontal="center" vertical="center" wrapText="1"/>
    </xf>
    <xf numFmtId="0" fontId="88" fillId="0" borderId="0" xfId="0" applyFont="1" applyNumberFormat="1">
      <alignment vertical="center" wrapText="1"/>
    </xf>
    <xf numFmtId="49" fontId="54" fillId="0" borderId="0" xfId="0" applyFont="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49" fontId="103" fillId="0" borderId="0" xfId="0" applyFont="1" applyNumberFormat="1">
      <alignment horizontal="center"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0" fontId="0" fillId="0" borderId="14" xfId="0" applyFont="1" applyBorder="1" applyNumberFormat="1">
      <alignment horizontal="left" vertical="center" wrapText="1" indent="1"/>
    </xf>
    <xf numFmtId="49"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55" fillId="0" borderId="0" xfId="0" applyFont="1" applyNumberFormat="1">
      <alignment horizontal="center" vertical="center" wrapText="1"/>
    </xf>
    <xf numFmtId="49" fontId="23" fillId="0" borderId="16" xfId="0" applyFont="1" applyBorder="1" applyNumberFormat="1">
      <alignment horizontal="center" vertical="center" wrapText="1"/>
    </xf>
    <xf numFmtId="49" fontId="48" fillId="40" borderId="16" xfId="0" applyFont="1" applyFill="1" applyBorder="1" applyNumberFormat="1">
      <alignment horizontal="left" vertical="center" indent="1"/>
    </xf>
    <xf numFmtId="0" fontId="23" fillId="40" borderId="31" xfId="0" applyFont="1" applyFill="1" applyBorder="1" applyNumberFormat="1">
      <alignment vertical="center" wrapText="1"/>
    </xf>
    <xf numFmtId="49" fontId="54" fillId="0" borderId="0" xfId="0" applyFont="1" applyNumberFormat="1">
      <alignment horizontal="center" vertical="center" wrapText="1"/>
    </xf>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78" fillId="0" borderId="41" xfId="0" applyFont="1" applyBorder="1" applyNumberFormat="1">
      <alignment vertical="top"/>
    </xf>
    <xf numFmtId="49" fontId="78" fillId="0" borderId="41" xfId="0" applyFont="1" applyBorder="1" applyNumberFormat="1">
      <alignment vertical="top"/>
    </xf>
    <xf numFmtId="0" fontId="36" fillId="37" borderId="41" xfId="0" applyFont="1" applyFill="1" applyBorder="1" applyNumberFormat="1">
      <alignment horizontal="center" wrapText="1"/>
    </xf>
    <xf numFmtId="0" fontId="36" fillId="37" borderId="41" xfId="0" applyFont="1" applyFill="1" applyBorder="1" applyNumberFormat="1">
      <alignment horizont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40" xfId="0" applyFont="1" applyBorder="1" applyNumberFormat="1">
      <alignmen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0" fillId="0" borderId="14" xfId="0" applyFont="1" applyBorder="1" applyNumberFormat="1">
      <alignment horizontal="center" vertical="center" wrapText="1"/>
    </xf>
    <xf numFmtId="49" fontId="23" fillId="0" borderId="0" xfId="0" applyFont="1" applyNumberFormat="1">
      <alignment vertical="top"/>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0" fontId="23" fillId="37" borderId="0" xfId="0" applyFont="1" applyFill="1" applyNumberFormat="1">
      <alignment vertical="center" wrapText="1"/>
    </xf>
    <xf numFmtId="0" fontId="23" fillId="37" borderId="21" xfId="0" applyFont="1" applyFill="1" applyBorder="1" applyNumberFormat="1">
      <alignment vertical="center" wrapText="1"/>
    </xf>
    <xf numFmtId="49" fontId="23" fillId="0" borderId="0" xfId="0" applyFont="1" applyNumberFormat="1">
      <alignment vertical="top"/>
    </xf>
    <xf numFmtId="49" fontId="55" fillId="0" borderId="0" xfId="0" applyFont="1" applyNumberFormat="1">
      <alignment vertical="top"/>
    </xf>
    <xf numFmtId="0" fontId="55" fillId="0" borderId="41" xfId="0" applyFont="1" applyBorder="1" applyNumberFormat="1">
      <alignment vertical="center" wrapText="1"/>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0" fontId="23" fillId="0" borderId="40" xfId="0" applyFont="1" applyBorder="1" applyNumberFormat="1">
      <alignment vertical="center"/>
    </xf>
    <xf numFmtId="49" fontId="0" fillId="0" borderId="19"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23" fillId="0" borderId="24" xfId="0" applyFont="1" applyBorder="1" applyNumberFormat="1">
      <alignment vertical="top"/>
    </xf>
    <xf numFmtId="49" fontId="0" fillId="0" borderId="38"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xf>
    <xf numFmtId="49" fontId="0" fillId="38" borderId="14" xfId="0" applyFont="1" applyFill="1" applyBorder="1" applyNumberFormat="1">
      <alignment horizontal="center" vertical="center"/>
    </xf>
    <xf numFmtId="0" fontId="23" fillId="0" borderId="24" xfId="0" applyFont="1" applyBorder="1" applyNumberFormat="1">
      <alignment vertical="center" wrapText="1"/>
    </xf>
    <xf numFmtId="49" fontId="0" fillId="0" borderId="14"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 fontId="0" fillId="39"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horizontal="left" vertical="center" wrapText="1"/>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49" fontId="54" fillId="0" borderId="0" xfId="0" applyFont="1" applyNumberFormat="1">
      <alignment horizontal="center" vertical="center" wrapText="1"/>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23" fillId="0" borderId="0" xfId="0" applyFont="1" applyNumberFormat="1">
      <alignment horizontal="center" vertical="top" wrapText="1"/>
    </xf>
    <xf numFmtId="49" fontId="40"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2" xfId="0" applyFont="1" applyBorder="1" applyNumberFormat="1">
      <alignment horizontal="left" vertical="top" wrapText="1"/>
    </xf>
    <xf numFmtId="49" fontId="23" fillId="0" borderId="0" xfId="0" applyFont="1" applyNumberFormat="1">
      <alignment horizontal="center" vertical="center" wrapText="1"/>
    </xf>
    <xf numFmtId="49" fontId="40" fillId="0" borderId="0" xfId="0" applyFont="1" applyNumberFormat="1">
      <alignment horizontal="center" vertical="center" wrapText="1"/>
    </xf>
    <xf numFmtId="49" fontId="23" fillId="37" borderId="0" xfId="0" applyFont="1" applyFill="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49" fontId="53" fillId="37" borderId="0" xfId="0" applyFont="1" applyFill="1" applyNumberFormat="1">
      <alignment vertical="center" wrapText="1"/>
    </xf>
    <xf numFmtId="49" fontId="23" fillId="37" borderId="14"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49" fontId="23" fillId="0" borderId="0" xfId="0" applyFont="1" applyNumberFormat="1">
      <alignment vertical="center" wrapText="1"/>
    </xf>
    <xf numFmtId="49" fontId="53" fillId="0" borderId="0" xfId="0" applyFont="1" applyNumberFormat="1">
      <alignment vertical="top"/>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3" fillId="0" borderId="0" xfId="0" applyFont="1" applyNumberFormat="1">
      <alignment vertical="center"/>
    </xf>
    <xf numFmtId="49" fontId="53" fillId="37" borderId="0" xfId="0" applyFont="1" applyFill="1" applyNumberFormat="1">
      <alignment vertical="center"/>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104"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49" fontId="53" fillId="0" borderId="0" xfId="0" applyFont="1" applyNumberFormat="1">
      <alignment vertical="center" wrapText="1"/>
    </xf>
    <xf numFmtId="49" fontId="53" fillId="0" borderId="0" xfId="0" applyFont="1" applyNumberFormat="1">
      <alignment vertical="top"/>
    </xf>
    <xf numFmtId="0" fontId="53" fillId="0" borderId="0" xfId="0" applyFont="1" applyNumberFormat="1">
      <alignment vertical="center" wrapText="1"/>
    </xf>
    <xf numFmtId="49" fontId="99" fillId="0" borderId="0" xfId="0" applyFont="1" applyNumberFormat="1">
      <alignment vertical="center" wrapText="1"/>
    </xf>
    <xf numFmtId="49" fontId="53" fillId="0" borderId="0" xfId="0" applyFont="1" applyNumberFormat="1">
      <alignment vertical="center" wrapText="1"/>
    </xf>
    <xf numFmtId="49" fontId="104" fillId="0" borderId="0" xfId="0" applyFont="1" applyNumberFormat="1">
      <alignment vertical="center"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4" xfId="0" applyFont="1" applyBorder="1" applyNumberFormat="1">
      <alignment horizontal="left" vertical="top" wrapText="1"/>
    </xf>
    <xf numFmtId="3" fontId="23" fillId="42" borderId="16" xfId="0" applyFont="1" applyFill="1" applyBorder="1" applyNumberFormat="1">
      <alignment vertical="center" wrapText="1"/>
      <protection locked="0"/>
    </xf>
    <xf numFmtId="0" fontId="23" fillId="0" borderId="14" xfId="0" applyFont="1" applyBorder="1" applyNumberFormat="1">
      <alignment vertical="top" wrapText="1"/>
    </xf>
    <xf numFmtId="0" fontId="23" fillId="0" borderId="14" xfId="0" applyFont="1" applyBorder="1" applyNumberFormat="1">
      <alignment horizontal="left" vertical="top" wrapText="1"/>
    </xf>
    <xf numFmtId="4" fontId="23" fillId="38" borderId="16" xfId="0" applyFont="1" applyFill="1" applyBorder="1" applyNumberFormat="1">
      <alignment horizontal="right" vertical="center" wrapText="1"/>
    </xf>
    <xf numFmtId="0" fontId="54" fillId="0" borderId="14" xfId="0" applyFont="1" applyBorder="1" applyNumberFormat="1">
      <alignment vertical="top" wrapText="1"/>
    </xf>
    <xf numFmtId="0" fontId="45" fillId="0" borderId="0" xfId="0" applyFont="1" applyNumberFormat="1">
      <alignment horizontal="center" vertical="center" wrapText="1"/>
    </xf>
    <xf numFmtId="49" fontId="23" fillId="42" borderId="14"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7"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0"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4" fillId="37" borderId="0" xfId="0" applyFont="1" applyFill="1" applyNumberFormat="1">
      <alignment horizontal="center" vertical="center" wrapText="1"/>
    </xf>
    <xf numFmtId="49" fontId="23" fillId="0" borderId="0" xfId="0" applyFont="1" applyNumberFormat="1">
      <alignment vertical="top"/>
    </xf>
    <xf numFmtId="49" fontId="0" fillId="37" borderId="14" xfId="0" applyFont="1" applyFill="1" applyBorder="1" applyNumberFormat="1">
      <alignment horizontal="center" vertical="center" wrapText="1"/>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34" fillId="42" borderId="14" xfId="0" applyFont="1" applyFill="1" applyBorder="1" applyNumberFormat="1">
      <alignment horizontal="left" vertical="center" wrapText="1"/>
      <protection locked="0"/>
    </xf>
    <xf numFmtId="0"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49" fontId="52" fillId="40" borderId="15"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47" fillId="37" borderId="0" xfId="0" applyFont="1" applyFill="1" applyNumberFormat="1">
      <alignment vertical="center" wrapText="1"/>
    </xf>
    <xf numFmtId="49" fontId="52" fillId="40" borderId="17" xfId="0" applyFont="1" applyFill="1" applyBorder="1" applyNumberFormat="1">
      <alignment horizontal="center" vertical="top"/>
    </xf>
    <xf numFmtId="0" fontId="55" fillId="0" borderId="0" xfId="0" applyFont="1" applyNumberFormat="1">
      <alignment vertical="center"/>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49" fontId="72" fillId="0" borderId="14" xfId="0" applyFont="1" applyBorder="1" applyNumberFormat="1">
      <alignment horizontal="center" vertical="center" wrapText="1"/>
    </xf>
    <xf numFmtId="0" fontId="72" fillId="0" borderId="14" xfId="0" applyFont="1" applyBorder="1" applyNumberFormat="1">
      <alignment horizontal="left" vertical="center" wrapText="1" indent="2"/>
    </xf>
    <xf numFmtId="49" fontId="75" fillId="0" borderId="16" xfId="0" applyFont="1" applyBorder="1" applyNumberFormat="1">
      <alignment horizontal="left" vertical="center" wrapText="1"/>
    </xf>
    <xf numFmtId="0" fontId="23" fillId="0" borderId="19" xfId="0" applyFont="1" applyBorder="1" applyNumberFormat="1">
      <alignment vertical="top" wrapText="1"/>
    </xf>
    <xf numFmtId="49" fontId="48" fillId="40" borderId="17" xfId="0" applyFont="1" applyFill="1" applyBorder="1" applyNumberFormat="1">
      <alignment horizontal="left" vertical="center" indent="1"/>
    </xf>
    <xf numFmtId="0" fontId="23" fillId="0" borderId="25" xfId="0" applyFont="1" applyBorder="1" applyNumberFormat="1">
      <alignment vertical="top"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4" fillId="0" borderId="0" xfId="0" applyFont="1" applyNumberFormat="1">
      <alignment vertical="center" wrapText="1"/>
    </xf>
    <xf numFmtId="0" fontId="47" fillId="0" borderId="0" xfId="0" applyFont="1" applyNumberFormat="1">
      <alignment vertical="center" wrapText="1"/>
    </xf>
    <xf numFmtId="49" fontId="54" fillId="0" borderId="0" xfId="0" applyFont="1" applyNumberFormat="1">
      <alignment vertical="top"/>
    </xf>
    <xf numFmtId="49" fontId="126" fillId="0" borderId="0" xfId="0" applyFont="1" applyNumberFormat="1">
      <alignment horizontal="center" vertical="center" wrapText="1"/>
    </xf>
    <xf numFmtId="0" fontId="0" fillId="42" borderId="14" xfId="0" applyFont="1" applyFill="1" applyBorder="1" applyNumberFormat="1">
      <alignment horizontal="left" vertical="center" wrapText="1" indent="1"/>
      <protection locked="0"/>
    </xf>
    <xf numFmtId="49" fontId="34" fillId="42" borderId="14" xfId="0" applyFont="1" applyFill="1" applyBorder="1" applyNumberFormat="1">
      <alignment horizontal="left" vertical="center" wrapText="1"/>
      <protection locked="0"/>
    </xf>
    <xf numFmtId="0" fontId="47" fillId="0" borderId="0" xfId="0" applyFont="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0" fillId="0" borderId="14" xfId="0" applyFont="1" applyBorder="1" applyNumberFormat="1">
      <alignment horizontal="left" vertical="center" wrapText="1"/>
    </xf>
    <xf numFmtId="167" fontId="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0" fillId="0" borderId="14" xfId="0" applyFont="1" applyBorder="1" applyNumberFormat="1">
      <alignment horizontal="left"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4" xfId="0" applyFont="1" applyBorder="1" applyNumberFormat="1">
      <alignment vertical="top" wrapText="1"/>
    </xf>
    <xf numFmtId="49" fontId="48" fillId="40" borderId="17" xfId="0" applyFont="1" applyFill="1" applyBorder="1" applyNumberFormat="1">
      <alignment horizontal="left" vertical="center" indent="2"/>
    </xf>
    <xf numFmtId="49" fontId="48" fillId="40" borderId="17" xfId="0" applyFont="1" applyFill="1" applyBorder="1" applyNumberFormat="1">
      <alignment horizontal="left" vertical="center" indent="3"/>
    </xf>
    <xf numFmtId="49" fontId="23" fillId="43" borderId="14" xfId="0" applyFont="1" applyFill="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5" xfId="0" applyFont="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49" fontId="52" fillId="40" borderId="15" xfId="0" applyFont="1" applyFill="1" applyBorder="1" applyNumberFormat="1">
      <alignment horizontal="center" vertical="top"/>
    </xf>
    <xf numFmtId="0" fontId="0" fillId="0" borderId="15"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4" xfId="0" applyFont="1" applyBorder="1" applyNumberFormat="1">
      <alignment horizontal="center" vertical="center" wrapText="1"/>
    </xf>
    <xf numFmtId="0" fontId="23" fillId="0" borderId="17" xfId="0" applyFont="1" applyBorder="1" applyNumberFormat="1">
      <alignment horizontal="left" vertical="top" wrapText="1" indent="1"/>
    </xf>
    <xf numFmtId="0" fontId="22" fillId="0" borderId="0" xfId="0" applyFont="1" applyNumberFormat="1">
      <alignment vertical="center" wrapText="1"/>
    </xf>
    <xf numFmtId="0" fontId="0" fillId="37" borderId="16" xfId="0" applyFont="1" applyFill="1" applyBorder="1" applyNumberFormat="1">
      <alignment horizontal="right" vertical="center" wrapText="1" indent="1"/>
    </xf>
    <xf numFmtId="0" fontId="76" fillId="0" borderId="0" xfId="0" applyFont="1" applyNumberFormat="1">
      <alignment vertical="center" wrapText="1"/>
    </xf>
    <xf numFmtId="49" fontId="44" fillId="37" borderId="0" xfId="0" applyFont="1" applyFill="1" applyNumberFormat="1">
      <alignment horizontal="center" vertical="center" wrapText="1"/>
    </xf>
    <xf numFmtId="49" fontId="44" fillId="37" borderId="21" xfId="0" applyFont="1" applyFill="1" applyBorder="1" applyNumberFormat="1">
      <alignment horizontal="center" vertical="center" wrapText="1"/>
    </xf>
    <xf numFmtId="49" fontId="0" fillId="37" borderId="19"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23" fillId="0" borderId="14" xfId="0" applyFont="1" applyBorder="1" applyNumberFormat="1">
      <alignment horizontal="left" vertical="center" wrapText="1"/>
    </xf>
    <xf numFmtId="0" fontId="47" fillId="37" borderId="0" xfId="0" applyFont="1" applyFill="1" applyNumberFormat="1">
      <alignment horizontal="center" vertical="top" wrapText="1"/>
    </xf>
    <xf numFmtId="0" fontId="0" fillId="38" borderId="16" xfId="0" applyFont="1" applyFill="1" applyBorder="1" applyNumberFormat="1">
      <alignment horizontal="left" vertical="center" wrapText="1" indent="1"/>
    </xf>
    <xf numFmtId="0" fontId="0" fillId="0" borderId="15" xfId="0" applyFont="1" applyBorder="1" applyNumberFormat="1">
      <alignment horizontal="center" vertical="center" wrapText="1"/>
    </xf>
    <xf numFmtId="0" fontId="0" fillId="0" borderId="15" xfId="0" applyFont="1" applyBorder="1" applyNumberFormat="1">
      <alignment horizontal="center" vertical="center" wrapText="1"/>
    </xf>
    <xf numFmtId="49" fontId="48" fillId="40" borderId="29" xfId="0" applyFont="1" applyFill="1" applyBorder="1" applyNumberFormat="1">
      <alignment horizontal="left" vertical="center" indent="2"/>
    </xf>
    <xf numFmtId="49" fontId="48" fillId="40" borderId="17" xfId="0" applyFont="1" applyFill="1" applyBorder="1" applyNumberFormat="1">
      <alignment horizontal="left" vertical="center"/>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23" fillId="0" borderId="0" xfId="0" applyFont="1" applyNumberFormat="1">
      <alignment vertical="top" wrapText="1"/>
    </xf>
    <xf numFmtId="0" fontId="47" fillId="0" borderId="0" xfId="0" applyFont="1" applyNumberFormat="1">
      <alignment vertical="center" wrapText="1"/>
    </xf>
    <xf numFmtId="0" fontId="23" fillId="0" borderId="38" xfId="0" applyFont="1" applyBorder="1" applyNumberFormat="1">
      <alignment vertical="center" wrapText="1"/>
    </xf>
    <xf numFmtId="0" fontId="0" fillId="38" borderId="14" xfId="0" applyFont="1" applyFill="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0" fontId="76" fillId="0" borderId="0" xfId="0" applyFont="1" applyNumberFormat="1">
      <alignment vertical="center" wrapText="1"/>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0" fontId="23" fillId="0" borderId="14" xfId="0" applyFont="1" applyBorder="1" applyNumberFormat="1">
      <alignment vertical="top" wrapText="1"/>
    </xf>
    <xf numFmtId="49" fontId="0" fillId="37" borderId="16" xfId="0" applyFont="1" applyFill="1" applyBorder="1" applyNumberFormat="1">
      <alignment horizontal="center" vertical="center" wrapText="1"/>
    </xf>
    <xf numFmtId="0" fontId="23" fillId="0" borderId="38" xfId="0" applyFont="1" applyBorder="1" applyNumberFormat="1">
      <alignment horizontal="left" vertical="top" wrapText="1"/>
    </xf>
    <xf numFmtId="4" fontId="0" fillId="42" borderId="14" xfId="0" applyFont="1" applyFill="1" applyBorder="1" applyNumberFormat="1">
      <alignment horizontal="right" vertical="center" wrapText="1"/>
      <protection locked="0"/>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23" fillId="0" borderId="0" xfId="0" applyFont="1" applyNumberFormat="1">
      <alignment vertical="top"/>
    </xf>
    <xf numFmtId="49" fontId="23" fillId="0" borderId="21"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5" fillId="0" borderId="0" xfId="0" applyFont="1" applyNumberFormat="1">
      <alignment vertical="center"/>
    </xf>
    <xf numFmtId="49" fontId="23" fillId="0" borderId="0" xfId="0" applyFont="1" applyNumberFormat="1">
      <alignment vertical="top"/>
    </xf>
    <xf numFmtId="49" fontId="0" fillId="42" borderId="14" xfId="0" applyFont="1" applyFill="1" applyBorder="1" applyNumberFormat="1">
      <alignment horizontal="left" vertical="center" wrapText="1" indent="1"/>
      <protection locked="0"/>
    </xf>
    <xf numFmtId="0" fontId="23" fillId="0" borderId="0" xfId="0" applyFont="1" applyNumberFormat="1">
      <alignment vertical="center" wrapText="1"/>
    </xf>
    <xf numFmtId="0" fontId="69" fillId="0" borderId="0" xfId="0" applyFont="1" applyNumberFormat="1">
      <alignment vertical="center" wrapText="1"/>
    </xf>
    <xf numFmtId="0" fontId="23" fillId="37" borderId="14" xfId="0" applyFont="1" applyFill="1" applyBorder="1" applyNumberFormat="1">
      <alignment horizontal="center" vertical="center" wrapText="1"/>
    </xf>
    <xf numFmtId="0" fontId="0" fillId="0" borderId="14" xfId="0" applyFont="1" applyBorder="1" applyNumberFormat="1">
      <alignment horizontal="left" vertical="top"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0" borderId="21" xfId="0" applyFont="1" applyBorder="1" applyNumberFormat="1">
      <alignment vertical="center" wrapText="1"/>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49" fontId="23" fillId="0" borderId="0" xfId="0" applyFont="1" applyNumberFormat="1">
      <alignment vertical="center" wrapText="1"/>
    </xf>
    <xf numFmtId="0" fontId="88"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0" borderId="14" xfId="0" applyFont="1" applyBorder="1" applyNumberFormat="1">
      <alignment horizontal="center" vertical="center" wrapText="1"/>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40" fillId="49" borderId="0" xfId="0" applyFont="1" applyFill="1" applyNumberFormat="1">
      <alignment horizontal="center" vertical="center"/>
    </xf>
    <xf numFmtId="49" fontId="23" fillId="0" borderId="14" xfId="0" applyFont="1" applyBorder="1" applyNumberFormat="1">
      <alignment horizontal="center" vertical="top"/>
    </xf>
    <xf numFmtId="49" fontId="54" fillId="49" borderId="0" xfId="0" applyFont="1" applyFill="1" applyNumberFormat="1">
      <alignment horizontal="center" vertical="center" wrapText="1"/>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23" fillId="0" borderId="16" xfId="0" applyFont="1" applyBorder="1" applyNumberFormat="1">
      <alignment horizontal="left" vertical="center"/>
    </xf>
    <xf numFmtId="49" fontId="23" fillId="0" borderId="46" xfId="0" applyFont="1" applyBorder="1" applyNumberFormat="1">
      <alignment vertical="center"/>
    </xf>
    <xf numFmtId="49" fontId="23" fillId="0" borderId="47" xfId="0" applyFont="1" applyBorder="1" applyNumberFormat="1">
      <alignment vertical="top"/>
    </xf>
    <xf numFmtId="49" fontId="23" fillId="0" borderId="18"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0" fontId="0" fillId="50" borderId="0" xfId="0" applyFont="1" applyFill="1" applyNumberFormat="1">
      <alignment horizontal="right" vertical="center"/>
    </xf>
    <xf numFmtId="49" fontId="40" fillId="0" borderId="0" xfId="0" applyFont="1" applyNumberFormat="1">
      <alignment horizontal="center" vertical="center"/>
    </xf>
    <xf numFmtId="49" fontId="0" fillId="0" borderId="0" xfId="0" applyFont="1" applyNumberFormat="1">
      <alignment vertical="top"/>
    </xf>
    <xf numFmtId="49" fontId="40" fillId="49" borderId="0" xfId="0" applyFont="1" applyFill="1" applyNumberFormat="1">
      <alignment horizontal="center" vertical="center"/>
    </xf>
    <xf numFmtId="0" fontId="23" fillId="0" borderId="0" xfId="0" applyFont="1" applyNumberFormat="1">
      <alignment vertical="center"/>
    </xf>
    <xf numFmtId="0" fontId="0" fillId="50"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6" xfId="0" applyFont="1" applyBorder="1" applyNumberFormat="1">
      <alignment vertical="top"/>
    </xf>
    <xf numFmtId="0" fontId="0" fillId="50" borderId="0" xfId="0" applyFont="1" applyFill="1" applyNumberFormat="1">
      <alignment horizontal="right" vertical="center"/>
    </xf>
    <xf numFmtId="0" fontId="0" fillId="0" borderId="0" xfId="0" applyFont="1" applyNumberFormat="1">
      <alignment horizontal="left" vertical="center"/>
    </xf>
    <xf numFmtId="0" fontId="0" fillId="50" borderId="0" xfId="0" applyFont="1" applyFill="1" applyNumberFormat="1">
      <alignment horizontal="right" vertical="center"/>
    </xf>
    <xf numFmtId="0" fontId="0" fillId="50" borderId="0" xfId="0" applyFont="1" applyFill="1" applyNumberFormat="1">
      <alignment horizontal="left" vertical="center"/>
    </xf>
    <xf numFmtId="0" fontId="59" fillId="50"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9" fillId="0" borderId="0" xfId="0" applyFont="1" applyNumberFormat="1">
      <alignment horizontal="left" vertical="center"/>
    </xf>
    <xf numFmtId="49" fontId="0" fillId="0" borderId="16" xfId="0" applyFont="1" applyBorder="1" applyNumberFormat="1">
      <alignment vertical="top"/>
    </xf>
    <xf numFmtId="49" fontId="23" fillId="0" borderId="14" xfId="0" applyFont="1" applyBorder="1" applyNumberFormat="1">
      <alignment horizontal="right" vertical="top"/>
    </xf>
    <xf numFmtId="0" fontId="0" fillId="0" borderId="16" xfId="0" applyFont="1" applyBorder="1" applyNumberFormat="1">
      <alignment horizontal="left" vertical="center"/>
    </xf>
    <xf numFmtId="0" fontId="59" fillId="50" borderId="0" xfId="0" applyFont="1" applyFill="1" applyNumberFormat="1">
      <alignment horizontal="left" vertical="center"/>
    </xf>
    <xf numFmtId="49" fontId="23" fillId="0" borderId="19" xfId="0" applyFont="1" applyBorder="1" applyNumberFormat="1">
      <alignment horizontal="righ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14" xfId="0" applyFont="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0" fontId="23" fillId="50" borderId="0" xfId="0" applyFont="1" applyFill="1" applyNumberFormat="1">
      <alignment horizontal="left" vertical="center"/>
    </xf>
    <xf numFmtId="0" fontId="0" fillId="50" borderId="12" xfId="0" applyFont="1" applyFill="1" applyBorder="1" applyNumberFormat="1">
      <alignment horizontal="center"/>
    </xf>
    <xf numFmtId="49" fontId="109" fillId="0" borderId="18" xfId="0" applyFont="1" applyBorder="1" applyNumberFormat="1">
      <alignment vertical="top"/>
    </xf>
    <xf numFmtId="49" fontId="0" fillId="0" borderId="0" xfId="0" applyFont="1" applyNumberFormat="1">
      <alignment vertical="center"/>
    </xf>
    <xf numFmtId="49" fontId="53" fillId="56" borderId="0" xfId="0" applyFont="1" applyFill="1" applyNumberFormat="1">
      <alignment vertical="center" wrapText="1"/>
    </xf>
    <xf numFmtId="0" fontId="0" fillId="0" borderId="12" xfId="0" applyFont="1" applyBorder="1" applyNumberFormat="1">
      <alignment horizontal="center"/>
    </xf>
    <xf numFmtId="49" fontId="23" fillId="50" borderId="0" xfId="0" applyFont="1" applyFill="1" applyNumberFormat="1">
      <alignment horizontal="center" vertical="center"/>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0" fontId="0" fillId="34" borderId="14" xfId="0" applyFont="1" applyFill="1" applyBorder="1" applyNumberFormat="1">
      <alignment horizontal="right" vertical="center"/>
    </xf>
    <xf numFmtId="49" fontId="23" fillId="34" borderId="25" xfId="0" applyFont="1" applyFill="1" applyBorder="1" applyNumberFormat="1">
      <alignment vertical="top"/>
    </xf>
    <xf numFmtId="49" fontId="23" fillId="34" borderId="14" xfId="0" applyFont="1" applyFill="1" applyBorder="1" applyNumberFormat="1">
      <alignment vertical="top"/>
    </xf>
    <xf numFmtId="49" fontId="23" fillId="0" borderId="16" xfId="0" applyFont="1" applyBorder="1" applyNumberFormat="1">
      <alignment horizontal="center" vertical="top"/>
    </xf>
    <xf numFmtId="49" fontId="23" fillId="0" borderId="15" xfId="0" applyFont="1" applyBorder="1" applyNumberFormat="1">
      <alignment horizontal="center" vertical="top"/>
    </xf>
    <xf numFmtId="0" fontId="23" fillId="38" borderId="32" xfId="0" applyFont="1" applyFill="1" applyBorder="1" applyNumberFormat="1">
      <alignment horizontal="center" vertical="top"/>
    </xf>
    <xf numFmtId="0" fontId="23" fillId="38" borderId="32" xfId="0" applyFont="1" applyFill="1" applyBorder="1" applyNumberFormat="1">
      <alignment horizontal="left" vertical="top"/>
    </xf>
    <xf numFmtId="0" fontId="0" fillId="0" borderId="34" xfId="0" applyFont="1" applyBorder="1" applyNumberFormat="1">
      <alignment horizontal="center" vertical="center"/>
    </xf>
    <xf numFmtId="0" fontId="0" fillId="0" borderId="36" xfId="0" applyFont="1" applyBorder="1" applyNumberFormat="1">
      <alignment horizontal="center" vertical="center"/>
    </xf>
    <xf numFmtId="0" fontId="23" fillId="0" borderId="14" xfId="0" applyFont="1" applyBorder="1" applyNumberFormat="1">
      <alignment horizontal="left" vertical="top"/>
    </xf>
    <xf numFmtId="49" fontId="23" fillId="0" borderId="0" xfId="0" applyFont="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49" fontId="40" fillId="49" borderId="16" xfId="0" applyFont="1" applyFill="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50"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0" fontId="23" fillId="42" borderId="14" xfId="0" applyFont="1" applyFill="1" applyBorder="1" applyNumberFormat="1">
      <alignment horizontal="center" vertical="center" wrapText="1"/>
      <protection locked="0"/>
    </xf>
    <xf numFmtId="0" fontId="54" fillId="37" borderId="0" xfId="0" applyFont="1" applyFill="1" applyNumberFormat="1"/>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8" borderId="14" xfId="0" applyFont="1" applyFill="1" applyBorder="1" applyNumberFormat="1">
      <alignment horizontal="left" vertical="center" wrapText="1"/>
    </xf>
    <xf numFmtId="0" fontId="73" fillId="37" borderId="0" xfId="0" applyFont="1" applyFill="1" applyNumberFormat="1"/>
    <xf numFmtId="0" fontId="23" fillId="37" borderId="14" xfId="0" applyFont="1" applyFill="1" applyBorder="1" applyNumberFormat="1">
      <alignment horizontal="left"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0" fontId="55"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0" fillId="37" borderId="19" xfId="0" applyFont="1" applyFill="1" applyBorder="1" applyNumberFormat="1">
      <alignment horizontal="left" vertical="top" wrapText="1"/>
    </xf>
    <xf numFmtId="0" fontId="72" fillId="37" borderId="0" xfId="0" applyFont="1" applyFill="1" applyNumberFormat="1"/>
    <xf numFmtId="0" fontId="77" fillId="37" borderId="0" xfId="0" applyFont="1" applyFill="1" applyNumberFormat="1">
      <alignment vertical="center" wrapText="1"/>
    </xf>
    <xf numFmtId="0" fontId="55" fillId="37" borderId="14" xfId="0" applyFont="1" applyFill="1" applyBorder="1" applyNumberFormat="1">
      <alignment horizontal="center" vertical="center"/>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0" fontId="89" fillId="37" borderId="0" xfId="0" applyFont="1" applyFill="1" applyNumberFormat="1"/>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0" fontId="23" fillId="37" borderId="14" xfId="0" applyFont="1" applyFill="1" applyBorder="1" applyNumberFormat="1">
      <alignmen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14" fontId="23" fillId="42" borderId="14" xfId="0" applyFont="1" applyFill="1" applyBorder="1" applyNumberFormat="1">
      <alignment horizontal="left" vertical="center" wrapText="1" indent="1"/>
      <protection locked="0"/>
    </xf>
    <xf numFmtId="0" fontId="117" fillId="0" borderId="0" xfId="0" applyFont="1" applyNumberFormat="1">
      <alignment vertical="center"/>
    </xf>
    <xf numFmtId="0" fontId="45" fillId="0" borderId="0" xfId="0" applyFont="1" applyNumberFormat="1">
      <alignment horizontal="center" vertical="center" wrapText="1"/>
    </xf>
    <xf numFmtId="4" fontId="23" fillId="0" borderId="19" xfId="0" applyFont="1" applyBorder="1" applyNumberFormat="1">
      <alignment horizontal="center" vertical="center" wrapText="1"/>
    </xf>
    <xf numFmtId="165" fontId="23" fillId="0" borderId="39" xfId="0" applyFont="1" applyBorder="1" applyNumberFormat="1">
      <alignment horizontal="center" vertical="center" wrapText="1"/>
    </xf>
    <xf numFmtId="165"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14" fontId="23" fillId="43" borderId="14" xfId="0" applyFont="1" applyFill="1" applyBorder="1" applyNumberFormat="1">
      <alignment horizontal="left"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31" xfId="0" applyFont="1" applyFill="1" applyBorder="1" applyNumberFormat="1">
      <alignment horizontal="right" vertical="center" wrapText="1"/>
    </xf>
    <xf numFmtId="0" fontId="117" fillId="0" borderId="0" xfId="0" applyFont="1" applyNumberFormat="1">
      <alignment vertical="center" wrapText="1"/>
    </xf>
    <xf numFmtId="49" fontId="0" fillId="0" borderId="0" xfId="0" applyFont="1" applyNumberFormat="1">
      <alignment vertical="top"/>
    </xf>
    <xf numFmtId="0" fontId="55" fillId="0" borderId="0" xfId="0" applyFont="1" applyNumberFormat="1">
      <alignment vertical="center"/>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38" borderId="14" xfId="0" applyFont="1" applyFill="1" applyBorder="1" applyNumberFormat="1">
      <alignment horizontal="left" vertical="center" wrapText="1" indent="1"/>
    </xf>
    <xf numFmtId="167" fontId="0" fillId="42" borderId="17" xfId="0" applyFont="1" applyFill="1" applyBorder="1" applyNumberFormat="1">
      <alignment horizontal="left" vertical="center" wrapText="1" indent="1"/>
      <protection locked="0"/>
    </xf>
    <xf numFmtId="168" fontId="23" fillId="42" borderId="14" xfId="0" applyFont="1" applyFill="1" applyBorder="1" applyNumberFormat="1">
      <alignment horizontal="left" vertical="center" wrapText="1" indent="1"/>
      <protection locked="0"/>
    </xf>
    <xf numFmtId="167" fontId="55" fillId="0" borderId="0" xfId="0" applyFont="1" applyNumberFormat="1">
      <alignment horizontal="center" vertical="center" wrapText="1"/>
    </xf>
    <xf numFmtId="165" fontId="23" fillId="0" borderId="19"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 fontId="23" fillId="0" borderId="38"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25"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25" xfId="0" applyFont="1" applyFill="1" applyBorder="1" applyNumberFormat="1">
      <alignment horizontal="left" vertical="center" wrapText="1" indent="1"/>
    </xf>
    <xf numFmtId="14" fontId="23" fillId="42" borderId="25" xfId="0" applyFont="1" applyFill="1" applyBorder="1" applyNumberFormat="1">
      <alignment horizontal="left" vertical="center" wrapText="1" indent="1"/>
      <protection locked="0"/>
    </xf>
    <xf numFmtId="0" fontId="23" fillId="0" borderId="31" xfId="0" applyFont="1" applyBorder="1" applyNumberFormat="1">
      <alignment horizontal="left" vertical="top" wrapText="1"/>
    </xf>
    <xf numFmtId="49" fontId="0" fillId="0" borderId="0" xfId="0" applyFont="1" applyNumberFormat="1">
      <alignment vertical="top"/>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5" fontId="23" fillId="0" borderId="25" xfId="0" applyFont="1" applyBorder="1" applyNumberFormat="1">
      <alignment horizontal="center" vertical="center" wrapText="1"/>
    </xf>
    <xf numFmtId="0" fontId="23" fillId="0" borderId="25" xfId="0" applyFont="1" applyBorder="1" applyNumberFormat="1">
      <alignment horizontal="left" vertical="center" wrapText="1" indent="1"/>
    </xf>
    <xf numFmtId="14" fontId="23" fillId="0" borderId="25" xfId="0" applyFont="1" applyBorder="1" applyNumberFormat="1">
      <alignment horizontal="left" vertical="center" wrapText="1" indent="1"/>
    </xf>
    <xf numFmtId="0" fontId="45" fillId="0" borderId="0" xfId="0" applyFont="1" applyNumberFormat="1">
      <alignment horizontal="center" vertical="center" wrapText="1"/>
    </xf>
    <xf numFmtId="0" fontId="55" fillId="0" borderId="0" xfId="0" applyFont="1" applyNumberFormat="1">
      <alignment vertical="center"/>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34" fillId="40" borderId="29" xfId="0" applyFont="1" applyFill="1" applyBorder="1" applyNumberFormat="1">
      <alignment horizontal="left" vertical="center" wrapText="1"/>
    </xf>
    <xf numFmtId="49" fontId="34" fillId="40" borderId="31" xfId="0" applyFont="1" applyFill="1" applyBorder="1" applyNumberFormat="1">
      <alignment horizontal="left" vertical="center" wrapText="1"/>
    </xf>
    <xf numFmtId="0" fontId="23" fillId="37" borderId="38" xfId="0" applyFont="1" applyFill="1" applyBorder="1" applyNumberFormat="1">
      <alignment vertical="center" wrapText="1"/>
    </xf>
    <xf numFmtId="0" fontId="55" fillId="0" borderId="0" xfId="0" applyFont="1" applyNumberFormat="1">
      <alignment horizontal="center"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14"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7" xfId="0" applyFont="1" applyBorder="1" applyNumberFormat="1">
      <alignment horizontal="left" vertical="center" wrapText="1"/>
    </xf>
    <xf numFmtId="0" fontId="50" fillId="0" borderId="0" xfId="0" applyFont="1" applyNumberFormat="1">
      <alignment horizontal="center" vertical="center" wrapText="1"/>
    </xf>
    <xf numFmtId="0" fontId="23" fillId="0" borderId="0" xfId="0" applyFont="1" applyNumberFormat="1">
      <alignment horizontal="center" vertical="center" wrapText="1"/>
    </xf>
    <xf numFmtId="165" fontId="53" fillId="0" borderId="21" xfId="0" applyFont="1" applyBorder="1" applyNumberFormat="1">
      <alignment horizontal="center"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0" fontId="55" fillId="0" borderId="0" xfId="0" applyFont="1" applyNumberFormat="1">
      <alignment horizontal="center" vertical="center"/>
    </xf>
    <xf numFmtId="165" fontId="23" fillId="0" borderId="14" xfId="0" applyFont="1" applyBorder="1" applyNumberFormat="1">
      <alignment horizontal="center"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43" borderId="32" xfId="0" applyFont="1" applyFill="1" applyBorder="1" applyNumberFormat="1">
      <alignment horizontal="left" vertical="center" wrapText="1"/>
    </xf>
    <xf numFmtId="0" fontId="23" fillId="0" borderId="25" xfId="0" applyFont="1" applyBorder="1" applyNumberFormat="1">
      <alignment horizontal="center" vertical="center" wrapText="1"/>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23" fillId="0" borderId="14" xfId="0" applyFont="1" applyBorder="1" applyNumberFormat="1">
      <alignment horizontal="left" vertical="top" wrapText="1"/>
    </xf>
    <xf numFmtId="49" fontId="23" fillId="43" borderId="25" xfId="0" applyFont="1" applyFill="1" applyBorder="1" applyNumberFormat="1">
      <alignment horizontal="left" vertical="center" wrapText="1"/>
    </xf>
    <xf numFmtId="49" fontId="129" fillId="0" borderId="14" xfId="0" applyFont="1" applyBorder="1" applyNumberFormat="1">
      <alignment horizontal="left" vertical="top"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37" borderId="0" xfId="0" applyFont="1" applyFill="1" applyNumberFormat="1"/>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0" fontId="51" fillId="37" borderId="0" xfId="0" applyFont="1" applyFill="1" applyNumberFormat="1">
      <alignment horizontal="center" vertical="center" wrapText="1"/>
    </xf>
    <xf numFmtId="0" fontId="40" fillId="37" borderId="0" xfId="0" applyFont="1" applyFill="1" applyNumberFormat="1"/>
    <xf numFmtId="0" fontId="23" fillId="37" borderId="14" xfId="0" applyFont="1" applyFill="1" applyBorder="1" applyNumberFormat="1">
      <alignment horizontal="center" vertical="center" wrapTex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8" fillId="40" borderId="17" xfId="0" applyFont="1" applyFill="1" applyBorder="1" applyNumberFormat="1">
      <alignment horizontal="left" vertical="center"/>
    </xf>
    <xf numFmtId="49" fontId="52" fillId="40" borderId="17"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5" fillId="0" borderId="0" xfId="0" applyFont="1" applyNumberFormat="1">
      <alignment horizontal="center" vertical="center"/>
    </xf>
    <xf numFmtId="49" fontId="23" fillId="0" borderId="0" xfId="0" applyFont="1" applyNumberFormat="1">
      <alignment vertical="top"/>
    </xf>
    <xf numFmtId="0" fontId="45" fillId="37" borderId="0" xfId="0" applyFont="1" applyFill="1" applyNumberFormat="1">
      <alignment horizontal="center" vertical="center"/>
    </xf>
    <xf numFmtId="0" fontId="23" fillId="37" borderId="0" xfId="0" applyFont="1" applyFill="1" applyNumberFormat="1"/>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0" fontId="69" fillId="0" borderId="0" xfId="0" applyFont="1" applyNumberFormat="1"/>
    <xf numFmtId="0" fontId="23" fillId="0" borderId="14" xfId="0" applyFont="1" applyBorder="1" applyNumberFormat="1">
      <alignment horizontal="center" vertical="center" wrapText="1"/>
    </xf>
    <xf numFmtId="0" fontId="23" fillId="37" borderId="19" xfId="0" applyFont="1" applyFill="1" applyBorder="1" applyNumberFormat="1">
      <alignment horizontal="center" vertical="center"/>
    </xf>
    <xf numFmtId="49" fontId="23" fillId="0" borderId="19" xfId="0" applyFont="1" applyBorder="1" applyNumberFormat="1">
      <alignment horizontal="left"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49" fontId="53" fillId="0" borderId="0" xfId="0" applyFont="1" applyNumberFormat="1">
      <alignment horizontal="right" vertical="top"/>
    </xf>
    <xf numFmtId="49" fontId="23" fillId="0" borderId="0" xfId="0" applyFont="1" applyNumberFormat="1">
      <alignment horizontal="left" vertical="top" wrapText="1"/>
    </xf>
    <xf numFmtId="49" fontId="53" fillId="0" borderId="0" xfId="0" applyFont="1" applyNumberFormat="1">
      <alignment vertical="top"/>
    </xf>
    <xf numFmtId="0" fontId="23" fillId="0" borderId="0" xfId="0" applyFont="1" applyNumberFormat="1"/>
    <xf numFmtId="0" fontId="45" fillId="0" borderId="0" xfId="0" applyFont="1" applyNumberFormat="1">
      <alignment horizontal="center" vertical="center"/>
    </xf>
    <xf numFmtId="0" fontId="23" fillId="0" borderId="0" xfId="0" applyFont="1" applyNumberFormat="1"/>
    <xf numFmtId="49" fontId="23" fillId="0" borderId="14" xfId="0" applyFont="1" applyBorder="1" applyNumberFormat="1">
      <alignment horizontal="left" vertical="center" wrapText="1"/>
    </xf>
    <xf numFmtId="49" fontId="48" fillId="40" borderId="15" xfId="0" applyFont="1" applyFill="1" applyBorder="1" applyNumberFormat="1">
      <alignment horizontal="left" vertical="center"/>
    </xf>
    <xf numFmtId="49" fontId="0" fillId="0" borderId="17" xfId="0" applyFont="1" applyBorder="1" applyNumberFormat="1">
      <alignment horizontal="left" vertical="center" indent="1"/>
    </xf>
    <xf numFmtId="49" fontId="70" fillId="0" borderId="0" xfId="0" applyFont="1" applyNumberFormat="1">
      <alignment vertical="top"/>
    </xf>
    <xf numFmtId="49" fontId="0" fillId="0" borderId="27" xfId="0" applyFont="1" applyBorder="1" applyNumberFormat="1">
      <alignment horizontal="center" vertical="center"/>
    </xf>
    <xf numFmtId="49" fontId="0" fillId="0" borderId="0" xfId="0" applyFont="1" applyNumberFormat="1">
      <alignment vertical="top"/>
    </xf>
    <xf numFmtId="49" fontId="0" fillId="41" borderId="0" xfId="0" applyFont="1" applyFill="1" applyNumberFormat="1">
      <alignment vertical="top"/>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49" fontId="23" fillId="39" borderId="14" xfId="0" applyFont="1" applyFill="1" applyBorder="1" applyNumberFormat="1">
      <alignment horizontal="left" vertical="center" wrapText="1"/>
      <protection locked="0"/>
    </xf>
    <xf numFmtId="0" fontId="50" fillId="0" borderId="0" xfId="0" applyFont="1" applyNumberFormat="1">
      <alignment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14" fontId="23" fillId="43" borderId="14" xfId="0" applyFont="1" applyFill="1" applyBorder="1" applyNumberFormat="1">
      <alignment horizontal="left" vertical="center" wrapText="1" indent="1"/>
    </xf>
    <xf numFmtId="49" fontId="23" fillId="38" borderId="14" xfId="0" applyFont="1" applyFill="1" applyBorder="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0" fillId="0" borderId="0" xfId="0" applyFont="1" applyNumberFormat="1">
      <alignment vertical="center"/>
    </xf>
    <xf numFmtId="0" fontId="44" fillId="0" borderId="26" xfId="0" applyFont="1" applyBorder="1" applyNumberFormat="1">
      <alignment horizontal="center" vertical="center" wrapText="1"/>
    </xf>
    <xf numFmtId="14" fontId="86" fillId="0" borderId="19" xfId="0" applyFont="1" applyBorder="1" applyNumberFormat="1">
      <alignment horizontal="center" vertical="center" wrapText="1"/>
    </xf>
    <xf numFmtId="0" fontId="80" fillId="0" borderId="14" xfId="0" applyFont="1" applyBorder="1" applyNumberFormat="1">
      <alignment horizontal="left" vertical="center" wrapText="1" indent="1"/>
    </xf>
    <xf numFmtId="0" fontId="86"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0" fontId="79" fillId="0" borderId="0" xfId="0" applyFont="1" applyNumberFormat="1">
      <alignment vertical="center"/>
    </xf>
    <xf numFmtId="14" fontId="86" fillId="0" borderId="38" xfId="0" applyFont="1" applyBorder="1" applyNumberFormat="1">
      <alignment horizontal="center" vertical="center" wrapText="1"/>
    </xf>
    <xf numFmtId="0" fontId="80" fillId="0" borderId="14" xfId="0" applyFont="1" applyBorder="1" applyNumberFormat="1">
      <alignment horizontal="left" vertical="top" indent="1"/>
    </xf>
    <xf numFmtId="49" fontId="0" fillId="0" borderId="14" xfId="0" applyFont="1" applyBorder="1" applyNumberFormat="1">
      <alignment vertical="top"/>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44" fillId="0" borderId="14" xfId="0" applyFont="1" applyBorder="1" applyNumberFormat="1">
      <alignment horizontal="center" vertical="center" wrapText="1"/>
    </xf>
    <xf numFmtId="49" fontId="23" fillId="0" borderId="15"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3" borderId="16" xfId="0" applyFont="1" applyFill="1" applyBorder="1" applyNumberFormat="1">
      <alignment horizontal="left" vertical="center" wrapText="1"/>
    </xf>
    <xf numFmtId="49" fontId="0" fillId="0" borderId="14" xfId="0" applyFont="1" applyBorder="1" applyNumberFormat="1">
      <alignment vertical="top"/>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0" fillId="0" borderId="0" xfId="0" applyFont="1" applyNumberFormat="1">
      <alignment vertical="top"/>
    </xf>
    <xf numFmtId="49" fontId="23" fillId="0" borderId="0" xfId="0" applyFont="1" applyNumberFormat="1">
      <alignment vertical="top"/>
    </xf>
    <xf numFmtId="0" fontId="45" fillId="37" borderId="0" xfId="0" applyFont="1" applyFill="1" applyNumberFormat="1">
      <alignment vertical="top" wrapText="1"/>
    </xf>
    <xf numFmtId="0" fontId="23" fillId="37" borderId="16" xfId="0" applyFont="1" applyFill="1" applyBorder="1" applyNumberFormat="1">
      <alignment horizontal="center" vertical="center" wrapText="1"/>
    </xf>
    <xf numFmtId="0" fontId="55" fillId="37" borderId="14" xfId="0" applyFont="1" applyFill="1" applyBorder="1" applyNumberFormat="1">
      <alignment horizontal="center" vertical="center" wrapText="1"/>
    </xf>
    <xf numFmtId="14" fontId="23" fillId="43" borderId="31" xfId="0" applyFont="1" applyFill="1" applyBorder="1" applyNumberFormat="1">
      <alignment horizontal="left" vertical="center" wrapText="1"/>
    </xf>
    <xf numFmtId="49" fontId="127" fillId="42" borderId="14" xfId="0" applyFont="1" applyFill="1" applyBorder="1" applyNumberFormat="1">
      <alignment horizontal="left" vertical="center" wrapText="1"/>
      <protection locked="0"/>
    </xf>
    <xf numFmtId="49" fontId="0" fillId="0" borderId="14" xfId="0" applyFont="1" applyBorder="1" applyNumberFormat="1">
      <alignment horizontal="center" vertical="center" wrapText="1"/>
    </xf>
    <xf numFmtId="0" fontId="23" fillId="43" borderId="16" xfId="0" applyFont="1" applyFill="1" applyBorder="1" applyNumberFormat="1">
      <alignment horizontal="left" vertical="center" wrapText="1"/>
    </xf>
    <xf numFmtId="0" fontId="0" fillId="0" borderId="25" xfId="0" applyFont="1" applyBorder="1" applyNumberFormat="1">
      <alignment horizontal="center" vertical="center" wrapText="1"/>
    </xf>
    <xf numFmtId="49" fontId="23" fillId="0" borderId="0" xfId="0" applyFont="1" applyNumberFormat="1">
      <alignment vertical="top"/>
    </xf>
    <xf numFmtId="49" fontId="4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49"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45" fillId="0" borderId="26" xfId="0" applyFont="1" applyBorder="1" applyNumberFormat="1">
      <alignment horizontal="center" vertical="center" wrapTex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2" borderId="14" xfId="0" applyFont="1" applyFill="1" applyBorder="1" applyNumberFormat="1">
      <alignment horizontal="left" vertical="top" wrapText="1"/>
      <protection locked="0"/>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0" fontId="23" fillId="39" borderId="14" xfId="0" applyFont="1" applyFill="1" applyBorder="1" applyNumberFormat="1">
      <alignment horizontal="left" vertical="top" wrapText="1"/>
      <protection locked="0"/>
    </xf>
    <xf numFmtId="49" fontId="23" fillId="43" borderId="14" xfId="0" applyFont="1" applyFill="1" applyBorder="1" applyNumberFormat="1">
      <alignment horizontal="center" vertical="top" wrapText="1"/>
    </xf>
    <xf numFmtId="0" fontId="23" fillId="0" borderId="38" xfId="0" applyFont="1" applyBorder="1" applyNumberFormat="1">
      <alignment horizontal="center" vertical="center" wrapText="1"/>
    </xf>
    <xf numFmtId="0" fontId="23"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1"/>
      <protection locked="0"/>
    </xf>
    <xf numFmtId="0" fontId="23" fillId="0" borderId="26" xfId="0" applyFont="1" applyBorder="1" applyNumberFormat="1">
      <alignment vertical="top" wrapText="1"/>
    </xf>
    <xf numFmtId="49" fontId="23" fillId="43" borderId="25" xfId="0" applyFont="1" applyFill="1" applyBorder="1" applyNumberFormat="1">
      <alignment horizontal="center" vertical="top" wrapText="1"/>
    </xf>
    <xf numFmtId="49" fontId="0" fillId="42"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6" xfId="0" applyFont="1" applyFill="1" applyBorder="1" applyNumberFormat="1">
      <alignment horizontal="center" vertical="top" wrapText="1"/>
    </xf>
    <xf numFmtId="49" fontId="23" fillId="0" borderId="38" xfId="0" applyFont="1" applyBorder="1" applyNumberFormat="1">
      <alignment horizontal="center" vertical="top" wrapText="1"/>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0" borderId="40" xfId="0" applyFont="1" applyBorder="1" applyNumberFormat="1">
      <alignment vertical="center" wrapText="1"/>
    </xf>
    <xf numFmtId="49" fontId="23" fillId="38" borderId="14" xfId="0" applyFont="1" applyFill="1" applyBorder="1" applyNumberFormat="1">
      <alignment horizontal="center" vertical="center" wrapText="1"/>
    </xf>
    <xf numFmtId="49" fontId="23" fillId="0" borderId="15" xfId="0" applyFont="1" applyBorder="1" applyNumberFormat="1">
      <alignment horizontal="center" vertical="center" wrapText="1"/>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23" fillId="43" borderId="16" xfId="0" applyFont="1" applyFill="1" applyBorder="1" applyNumberFormat="1">
      <alignment horizontal="center" vertical="center" wrapText="1"/>
    </xf>
    <xf numFmtId="49" fontId="110" fillId="40" borderId="45" xfId="0" applyFont="1" applyFill="1" applyBorder="1" applyNumberFormat="1">
      <alignment horizontal="left" vertical="center" indent="1"/>
    </xf>
    <xf numFmtId="49" fontId="99" fillId="40" borderId="45" xfId="0" applyFont="1" applyFill="1" applyBorder="1" applyNumberFormat="1">
      <alignment horizontal="center" vertical="center"/>
    </xf>
    <xf numFmtId="3" fontId="23" fillId="42" borderId="14" xfId="0" applyFont="1" applyFill="1" applyBorder="1" applyNumberFormat="1">
      <alignment horizontal="center" vertical="center" wrapText="1"/>
      <protection locked="0"/>
    </xf>
    <xf numFmtId="49" fontId="128" fillId="0" borderId="15" xfId="0" applyFont="1" applyBorder="1" applyNumberFormat="1">
      <alignment horizontal="center" vertical="center" wrapText="1"/>
    </xf>
    <xf numFmtId="0" fontId="53" fillId="0" borderId="14" xfId="0" applyFont="1" applyBorder="1" applyNumberFormat="1">
      <alignment horizontal="center" vertical="center"/>
    </xf>
    <xf numFmtId="49" fontId="23" fillId="43" borderId="19"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23" fillId="43" borderId="38" xfId="0" applyFont="1" applyFill="1" applyBorder="1" applyNumberFormat="1">
      <alignment horizontal="left" vertical="center" wrapText="1" indent="1"/>
    </xf>
    <xf numFmtId="49" fontId="23" fillId="38" borderId="14" xfId="0" applyFont="1" applyFill="1" applyBorder="1" applyNumberFormat="1">
      <alignment horizontal="left" vertical="center" wrapText="1"/>
    </xf>
    <xf numFmtId="49" fontId="128" fillId="0" borderId="0" xfId="0" applyFont="1" applyNumberFormat="1">
      <alignment horizontal="center" vertical="top" wrapText="1"/>
    </xf>
    <xf numFmtId="0" fontId="53" fillId="0" borderId="14" xfId="0" applyFont="1" applyBorder="1" applyNumberFormat="1">
      <alignment horizontal="center" vertical="center"/>
    </xf>
    <xf numFmtId="0" fontId="53" fillId="43" borderId="14" xfId="0" applyFont="1" applyFill="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43" borderId="25" xfId="0" applyFont="1" applyFill="1" applyBorder="1" applyNumberFormat="1">
      <alignment horizontal="left" vertical="center" wrapText="1" indent="1"/>
    </xf>
    <xf numFmtId="49" fontId="48" fillId="40" borderId="17" xfId="0" applyFont="1" applyFill="1" applyBorder="1" applyNumberFormat="1">
      <alignment horizontal="left" vertical="center" inden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49" fontId="23" fillId="38" borderId="77" xfId="0" applyFont="1" applyFill="1" applyBorder="1" applyNumberFormat="1">
      <alignment horizontal="center" vertical="center" wrapText="1"/>
    </xf>
    <xf numFmtId="0" fontId="0" fillId="40" borderId="52" xfId="0" applyFont="1" applyFill="1" applyBorder="1" applyNumberFormat="1">
      <alignment horizontal="left" vertical="center"/>
    </xf>
    <xf numFmtId="49" fontId="48" fillId="40" borderId="53" xfId="0" applyFont="1" applyFill="1" applyBorder="1" applyNumberFormat="1">
      <alignment horizontal="left" vertical="center" inden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0" fontId="23" fillId="40" borderId="55" xfId="0" applyFont="1" applyFill="1" applyBorder="1" applyNumberFormat="1">
      <alignment vertical="center" wrapText="1"/>
    </xf>
    <xf numFmtId="49" fontId="0" fillId="38" borderId="38" xfId="0" applyFont="1" applyFill="1" applyBorder="1" applyNumberFormat="1">
      <alignment vertical="top"/>
    </xf>
    <xf numFmtId="49" fontId="23" fillId="43" borderId="19" xfId="0" applyFont="1" applyFill="1" applyBorder="1" applyNumberFormat="1">
      <alignment vertical="center" wrapText="1"/>
    </xf>
    <xf numFmtId="49" fontId="0" fillId="42" borderId="38" xfId="0" applyFont="1" applyFill="1" applyBorder="1" applyNumberFormat="1">
      <alignment vertical="top"/>
      <protection locked="0"/>
    </xf>
    <xf numFmtId="49" fontId="128" fillId="0" borderId="14" xfId="0" applyFont="1" applyBorder="1" applyNumberFormat="1">
      <alignment horizontal="center" vertical="center" wrapText="1"/>
    </xf>
    <xf numFmtId="49" fontId="0" fillId="42" borderId="19" xfId="0" applyFont="1" applyFill="1" applyBorder="1" applyNumberFormat="1">
      <alignment vertical="top"/>
      <protection locked="0"/>
    </xf>
    <xf numFmtId="14" fontId="23" fillId="43" borderId="38" xfId="0" applyFont="1" applyFill="1" applyBorder="1" applyNumberFormat="1">
      <alignment horizontal="left" vertical="center" wrapText="1" inden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0" fontId="53" fillId="0" borderId="15" xfId="0" applyFont="1" applyBorder="1" applyNumberFormat="1">
      <alignment horizontal="center" vertical="center"/>
    </xf>
    <xf numFmtId="0" fontId="108" fillId="0" borderId="49" xfId="0" applyFont="1" applyBorder="1" applyNumberFormat="1">
      <alignment horizontal="left" vertical="center" indent="1"/>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49" fontId="0" fillId="0" borderId="0" xfId="0" applyFont="1" applyNumberFormat="1">
      <alignment vertical="top"/>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39" borderId="14" xfId="0" applyFont="1" applyFill="1" applyBorder="1" applyNumberFormat="1">
      <alignment horizontal="left" vertical="center"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48" fillId="0" borderId="14" xfId="0" applyFont="1" applyBorder="1" applyNumberFormat="1">
      <alignment horizontal="left" vertical="center" indent="1"/>
    </xf>
    <xf numFmtId="0" fontId="54" fillId="0" borderId="0" xfId="0" applyFont="1" applyNumberFormat="1">
      <alignment horizontal="center" vertical="top"/>
    </xf>
    <xf numFmtId="49" fontId="23" fillId="0" borderId="25" xfId="0" applyFont="1" applyBorder="1" applyNumberFormat="1">
      <alignment horizontal="center" vertical="center" wrapText="1"/>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49" fontId="55" fillId="0" borderId="15" xfId="0" applyFont="1" applyBorder="1" applyNumberFormat="1">
      <alignment horizontal="left" vertical="center" indent="1"/>
    </xf>
    <xf numFmtId="0" fontId="55" fillId="0" borderId="14" xfId="0" applyFont="1" applyBorder="1" applyNumberFormat="1">
      <alignment horizontal="left" vertical="center" indent="1"/>
    </xf>
    <xf numFmtId="49" fontId="0" fillId="0" borderId="21" xfId="0" applyFont="1" applyBorder="1" applyNumberFormat="1">
      <alignment vertical="top"/>
    </xf>
    <xf numFmtId="49" fontId="45" fillId="0" borderId="19"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0" fillId="0" borderId="15" xfId="0" applyFont="1" applyBorder="1" applyNumberFormat="1">
      <alignment horizontal="center" vertical="center" wrapText="1"/>
    </xf>
    <xf numFmtId="0" fontId="0" fillId="0" borderId="14" xfId="0" applyFont="1" applyBorder="1" applyNumberFormat="1">
      <alignment horizontal="left" vertical="center" wrapText="1"/>
    </xf>
    <xf numFmtId="49" fontId="0" fillId="0" borderId="14" xfId="0" applyFont="1" applyBorder="1" applyNumberFormat="1">
      <alignment horizontal="center" vertical="center"/>
    </xf>
    <xf numFmtId="0" fontId="0" fillId="0" borderId="14" xfId="0" applyFont="1" applyBorder="1" applyNumberFormat="1">
      <alignment horizontal="center" vertical="center" wrapText="1"/>
    </xf>
    <xf numFmtId="4" fontId="0" fillId="38" borderId="14" xfId="0" applyFont="1" applyFill="1" applyBorder="1" applyNumberFormat="1">
      <alignment horizontal="right" vertical="center" wrapText="1"/>
    </xf>
    <xf numFmtId="49" fontId="23" fillId="0" borderId="38" xfId="0" applyFont="1" applyBorder="1" applyNumberFormat="1">
      <alignment horizontal="center" vertical="top"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2" borderId="14" xfId="0" applyFont="1" applyFill="1" applyBorder="1" applyNumberFormat="1">
      <alignment horizontal="left" vertical="center" wrapText="1"/>
      <protection locked="0"/>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23" fillId="0" borderId="25" xfId="0" applyFont="1" applyBorder="1" applyNumberFormat="1">
      <alignment horizontal="center" vertical="top" wrapText="1"/>
    </xf>
    <xf numFmtId="49" fontId="23" fillId="42" borderId="14" xfId="0" applyFont="1" applyFill="1" applyBorder="1" applyNumberFormat="1">
      <alignment horizontal="left" vertical="center" wrapText="1" indent="1"/>
      <protection locked="0"/>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0" fontId="23" fillId="43" borderId="14" xfId="0" applyFont="1" applyFill="1" applyBorder="1" applyNumberFormat="1">
      <alignment horizontal="left" vertical="top" wrapText="1"/>
    </xf>
    <xf numFmtId="49" fontId="23"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49" fontId="0" fillId="0" borderId="14" xfId="0" applyFont="1" applyBorder="1" applyNumberFormat="1">
      <alignment horizontal="left" vertical="top"/>
    </xf>
    <xf numFmtId="49" fontId="0" fillId="43" borderId="14"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23" fillId="43" borderId="0" xfId="0" applyFont="1" applyFill="1" applyNumberFormat="1">
      <alignment horizontal="center" vertical="center" wrapText="1"/>
    </xf>
    <xf numFmtId="0" fontId="48" fillId="0" borderId="38" xfId="0" applyFont="1" applyBorder="1" applyNumberFormat="1">
      <alignment horizontal="left" vertical="center"/>
    </xf>
    <xf numFmtId="49" fontId="0" fillId="43" borderId="38" xfId="0" applyFont="1" applyFill="1" applyBorder="1" applyNumberFormat="1">
      <alignment horizontal="left" vertical="center" wrapText="1"/>
      <protection locked="0"/>
    </xf>
    <xf numFmtId="49" fontId="23" fillId="43" borderId="38" xfId="0" applyFont="1" applyFill="1" applyBorder="1" applyNumberFormat="1">
      <alignment horizontal="center" vertical="center" wrapText="1"/>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49" fontId="0" fillId="0" borderId="0" xfId="0" applyFont="1" applyNumberFormat="1">
      <alignment vertical="top"/>
    </xf>
    <xf numFmtId="0" fontId="0" fillId="0" borderId="0" xfId="0" applyFont="1" applyNumberFormat="1">
      <alignment vertical="center"/>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0" fillId="0" borderId="24"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9" xfId="0" applyFont="1" applyBorder="1" applyNumberFormat="1">
      <alignment vertical="center"/>
    </xf>
    <xf numFmtId="49" fontId="23" fillId="0" borderId="38" xfId="0" applyFont="1" applyBorder="1" applyNumberFormat="1">
      <alignment horizontal="center" vertical="center"/>
    </xf>
    <xf numFmtId="49" fontId="23" fillId="0" borderId="38" xfId="0" applyFont="1" applyBorder="1" applyNumberFormat="1">
      <alignment vertical="center" wrapText="1"/>
    </xf>
    <xf numFmtId="0" fontId="23" fillId="0" borderId="26" xfId="0" applyFont="1" applyBorder="1" applyNumberFormat="1">
      <alignment horizontal="center" vertical="center"/>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45" fillId="0" borderId="38" xfId="0" applyFont="1" applyBorder="1" applyNumberFormat="1">
      <alignment vertical="center" wrapText="1"/>
    </xf>
    <xf numFmtId="0" fontId="23" fillId="43" borderId="19" xfId="0" applyFont="1" applyFill="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horizontal="left" vertical="center" wrapText="1"/>
    </xf>
    <xf numFmtId="0"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vertical="center" wrapText="1"/>
    </xf>
    <xf numFmtId="0" fontId="23" fillId="0" borderId="38" xfId="0" applyFont="1" applyBorder="1" applyNumberFormat="1">
      <alignment horizontal="left" vertical="center" wrapText="1"/>
    </xf>
    <xf numFmtId="49" fontId="23" fillId="0" borderId="38" xfId="0" applyFont="1" applyBorder="1" applyNumberFormat="1">
      <alignment horizontal="left" vertical="center" wrapText="1"/>
    </xf>
    <xf numFmtId="0" fontId="23" fillId="43" borderId="38" xfId="0" applyFont="1" applyFill="1" applyBorder="1" applyNumberFormat="1">
      <alignment horizontal="left" vertical="center" wrapText="1"/>
    </xf>
    <xf numFmtId="49" fontId="23" fillId="0" borderId="38" xfId="0" applyFont="1" applyBorder="1" applyNumberFormat="1">
      <alignment horizontal="center"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23" fillId="0" borderId="38" xfId="0" applyFont="1" applyBorder="1" applyNumberFormat="1">
      <alignment horizontal="center" vertical="center" wrapText="1"/>
    </xf>
    <xf numFmtId="0" fontId="48" fillId="40" borderId="39"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45" fillId="0" borderId="38" xfId="0" applyFont="1" applyBorder="1" applyNumberFormat="1">
      <alignment horizontal="center" vertical="center" wrapText="1"/>
    </xf>
    <xf numFmtId="0" fontId="48" fillId="40" borderId="39" xfId="0" applyFont="1" applyFill="1" applyBorder="1" applyNumberFormat="1">
      <alignment vertical="center"/>
    </xf>
    <xf numFmtId="0" fontId="48" fillId="0" borderId="38" xfId="0" applyFont="1" applyBorder="1" applyNumberFormat="1">
      <alignment horizontal="left" vertical="center"/>
    </xf>
    <xf numFmtId="49" fontId="23" fillId="39" borderId="19" xfId="0" applyFont="1" applyFill="1" applyBorder="1" applyNumberFormat="1">
      <alignment horizontal="left" vertical="center" wrapText="1"/>
      <protection locked="0"/>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0" borderId="21" xfId="0" applyFont="1" applyBorder="1" applyNumberFormat="1">
      <alignment horizontal="lef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49" fontId="100" fillId="0" borderId="14" xfId="0" applyFont="1" applyBorder="1" applyNumberFormat="1">
      <alignment vertical="top" wrapText="1"/>
    </xf>
    <xf numFmtId="49" fontId="96" fillId="0" borderId="14" xfId="0" applyFont="1" applyBorder="1" applyNumberFormat="1">
      <alignment horizontal="center" vertical="top" wrapText="1"/>
    </xf>
    <xf numFmtId="49" fontId="96" fillId="34" borderId="14" xfId="0" applyFont="1" applyFill="1" applyBorder="1" applyNumberFormat="1">
      <alignment horizontal="center" vertical="top"/>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0" fontId="100" fillId="0" borderId="14" xfId="0" applyFont="1" applyBorder="1" applyNumberFormat="1">
      <alignment vertical="top" wrapText="1"/>
    </xf>
    <xf numFmtId="49" fontId="100" fillId="0" borderId="0" xfId="0" applyFont="1" applyNumberFormat="1">
      <alignment vertical="top" wrapText="1"/>
    </xf>
    <xf numFmtId="49" fontId="100" fillId="0" borderId="0" xfId="0" applyFont="1" applyNumberFormat="1">
      <alignment vertical="top"/>
    </xf>
    <xf numFmtId="49" fontId="100" fillId="0" borderId="0" xfId="0" applyFont="1" applyNumberFormat="1">
      <alignment horizontal="center" vertical="top" wrapText="1"/>
    </xf>
    <xf numFmtId="49" fontId="100" fillId="0" borderId="14" xfId="0" applyFont="1" applyBorder="1" applyNumberFormat="1">
      <alignment horizontal="center" vertical="top" wrapText="1"/>
    </xf>
    <xf numFmtId="49" fontId="100" fillId="0" borderId="14" xfId="0" applyFont="1" applyBorder="1" applyNumberFormat="1">
      <alignment horizontal="center" vertical="top" wrapText="1"/>
    </xf>
    <xf numFmtId="49" fontId="100" fillId="34" borderId="14" xfId="0" applyFont="1" applyFill="1" applyBorder="1" applyNumberFormat="1">
      <alignment horizontal="center" vertical="top" wrapText="1"/>
    </xf>
    <xf numFmtId="49" fontId="96" fillId="34" borderId="14" xfId="0" applyFont="1" applyFill="1" applyBorder="1" applyNumberFormat="1">
      <alignment horizontal="center" vertical="top" wrapText="1"/>
    </xf>
    <xf numFmtId="49" fontId="100" fillId="0" borderId="14" xfId="0" applyFont="1" applyBorder="1" applyNumberFormat="1">
      <alignment horizontal="left" vertical="top" wrapText="1"/>
    </xf>
    <xf numFmtId="0" fontId="96" fillId="34" borderId="14" xfId="0" applyFont="1" applyFill="1" applyBorder="1" applyNumberFormat="1">
      <alignment horizontal="center" vertical="top" wrapText="1"/>
    </xf>
    <xf numFmtId="0" fontId="100" fillId="34" borderId="14" xfId="0" applyFont="1" applyFill="1" applyBorder="1" applyNumberFormat="1">
      <alignment horizontal="right" vertical="center"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0" fontId="100" fillId="0" borderId="14" xfId="0" applyFont="1" applyBorder="1" applyNumberFormat="1">
      <alignment horizontal="left" vertical="top" wrapText="1"/>
    </xf>
    <xf numFmtId="49" fontId="100" fillId="34" borderId="14" xfId="0" applyFont="1" applyFill="1" applyBorder="1" applyNumberFormat="1">
      <alignment horizontal="left" vertical="top" wrapText="1"/>
    </xf>
    <xf numFmtId="0" fontId="100" fillId="34" borderId="14" xfId="0" applyFont="1" applyFill="1" applyBorder="1" applyNumberFormat="1">
      <alignment horizontal="center" vertical="center" wrapText="1"/>
    </xf>
    <xf numFmtId="0" fontId="100" fillId="34" borderId="14" xfId="0" applyFont="1" applyFill="1" applyBorder="1" applyNumberFormat="1">
      <alignment horizontal="center" vertical="center"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19" xfId="0" applyFont="1" applyBorder="1" applyNumberFormat="1">
      <alignment horizontal="center" vertical="top" wrapText="1"/>
    </xf>
    <xf numFmtId="0" fontId="100" fillId="0" borderId="19" xfId="0" applyFont="1" applyBorder="1" applyNumberFormat="1">
      <alignment horizontal="left" vertical="top" wrapText="1"/>
    </xf>
    <xf numFmtId="49" fontId="100" fillId="0" borderId="39" xfId="0" applyFont="1" applyBorder="1" applyNumberFormat="1">
      <alignment horizontal="center" vertical="top" wrapText="1"/>
    </xf>
    <xf numFmtId="49" fontId="100" fillId="0" borderId="39" xfId="0" applyFont="1" applyBorder="1" applyNumberFormat="1">
      <alignment horizontal="center" vertical="top" wrapText="1"/>
    </xf>
    <xf numFmtId="0" fontId="100" fillId="0" borderId="15" xfId="0" applyFont="1" applyBorder="1" applyNumberFormat="1">
      <alignment horizontal="left" vertical="top" wrapText="1"/>
    </xf>
    <xf numFmtId="49" fontId="100" fillId="0" borderId="25"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24" xfId="0" applyFont="1" applyBorder="1" applyNumberFormat="1">
      <alignment horizontal="center" vertical="top" wrapText="1"/>
    </xf>
    <xf numFmtId="0" fontId="100" fillId="0" borderId="19" xfId="0" applyFont="1" applyBorder="1" applyNumberFormat="1">
      <alignment vertical="top" wrapText="1"/>
    </xf>
    <xf numFmtId="49" fontId="96" fillId="0" borderId="14" xfId="0" applyFont="1" applyBorder="1" applyNumberFormat="1">
      <alignment horizontal="left" vertical="top" wrapText="1"/>
    </xf>
    <xf numFmtId="0" fontId="96" fillId="0" borderId="16" xfId="0" applyFont="1" applyBorder="1" applyNumberFormat="1">
      <alignment horizontal="center" vertical="center" wrapText="1"/>
    </xf>
    <xf numFmtId="0" fontId="96" fillId="0" borderId="16" xfId="0" applyFont="1" applyBorder="1" applyNumberFormat="1">
      <alignment horizontal="center" vertical="center"/>
    </xf>
    <xf numFmtId="49" fontId="96" fillId="0" borderId="14" xfId="0" applyFont="1" applyBorder="1" applyNumberFormat="1">
      <alignment horizontal="center" vertical="center" wrapText="1"/>
    </xf>
    <xf numFmtId="0" fontId="96" fillId="0" borderId="14" xfId="0" applyFont="1" applyBorder="1" applyNumberFormat="1">
      <alignment vertical="center" wrapText="1"/>
    </xf>
    <xf numFmtId="49" fontId="100" fillId="0" borderId="16" xfId="0" applyFont="1" applyBorder="1" applyNumberFormat="1">
      <alignment horizontal="left" vertical="top" wrapText="1"/>
    </xf>
    <xf numFmtId="0" fontId="96" fillId="0" borderId="14" xfId="0" applyFont="1" applyBorder="1" applyNumberFormat="1">
      <alignment horizontal="center"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100" fillId="0" borderId="32" xfId="0" applyFont="1" applyBorder="1" applyNumberFormat="1">
      <alignment horizontal="left" vertical="top" wrapText="1"/>
    </xf>
    <xf numFmtId="49" fontId="100" fillId="0" borderId="15" xfId="0" applyFont="1" applyBorder="1" applyNumberFormat="1">
      <alignment horizontal="left" vertical="top"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38" xfId="0" applyFont="1" applyBorder="1" applyNumberFormat="1">
      <alignment horizontal="left" vertical="top" wrapText="1"/>
    </xf>
    <xf numFmtId="0" fontId="100" fillId="0" borderId="38" xfId="0" applyFont="1" applyBorder="1" applyNumberFormat="1">
      <alignment horizontal="left" vertical="top" wrapText="1"/>
    </xf>
    <xf numFmtId="49" fontId="100" fillId="0" borderId="0" xfId="0" applyFont="1" applyNumberFormat="1">
      <alignment horizontal="left" vertical="top" wrapText="1"/>
    </xf>
    <xf numFmtId="49" fontId="100" fillId="34" borderId="0" xfId="0" applyFont="1" applyFill="1" applyNumberFormat="1">
      <alignment horizontal="left" vertical="top" wrapText="1"/>
    </xf>
    <xf numFmtId="0" fontId="100" fillId="0" borderId="0" xfId="0" applyFont="1" applyNumberFormat="1">
      <alignment vertical="top"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0" fillId="0" borderId="0" xfId="0" applyFont="1" applyNumberFormat="1">
      <alignment horizontal="left" vertical="center"/>
    </xf>
    <xf numFmtId="0" fontId="0" fillId="37" borderId="14" xfId="0" applyFont="1" applyFill="1" applyBorder="1" applyNumberFormat="1">
      <alignment horizontal="right" vertical="center" wrapText="1" indent="1"/>
    </xf>
    <xf numFmtId="0" fontId="0" fillId="0" borderId="16"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indent="6"/>
      <protection locked="0"/>
    </xf>
    <xf numFmtId="167" fontId="0" fillId="42" borderId="14" xfId="0" applyFont="1" applyFill="1" applyBorder="1" applyNumberFormat="1">
      <alignment horizontal="center" vertical="center" wrapText="1"/>
      <protection locked="0"/>
    </xf>
    <xf numFmtId="49" fontId="23" fillId="0" borderId="14" xfId="0" applyFont="1" applyBorder="1" applyNumberFormat="1">
      <alignment horizontal="left" vertical="center" wrapText="1"/>
    </xf>
    <xf numFmtId="49" fontId="106" fillId="40" borderId="16" xfId="0" applyFont="1" applyFill="1" applyBorder="1" applyNumberFormat="1">
      <alignment horizontal="left" vertical="center"/>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54" fillId="0" borderId="0" xfId="0" applyFont="1" applyNumberFormat="1">
      <alignment horizontal="left" vertical="center"/>
    </xf>
    <xf numFmtId="49" fontId="40" fillId="0" borderId="0" xfId="0" applyFont="1" applyNumberFormat="1">
      <alignment vertical="top"/>
    </xf>
    <xf numFmtId="49" fontId="0" fillId="0" borderId="26" xfId="0" applyFont="1" applyBorder="1" applyNumberFormat="1">
      <alignment vertical="top"/>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0" fillId="0" borderId="0" xfId="0" applyFont="1" applyNumberFormat="1">
      <alignment vertical="top"/>
    </xf>
    <xf numFmtId="49" fontId="54" fillId="0" borderId="0" xfId="0" applyFont="1" applyNumberFormat="1">
      <alignment horizontal="left" vertical="center"/>
    </xf>
    <xf numFmtId="49" fontId="54" fillId="0" borderId="0" xfId="0" applyFont="1" applyNumberFormat="1">
      <alignment horizontal="left" vertical="top"/>
    </xf>
    <xf numFmtId="49" fontId="72" fillId="40" borderId="16" xfId="0" applyFont="1" applyFill="1" applyBorder="1" applyNumberFormat="1">
      <alignment horizontal="left" vertical="top"/>
    </xf>
    <xf numFmtId="49" fontId="114" fillId="40" borderId="17" xfId="0" applyFont="1" applyFill="1" applyBorder="1" applyNumberFormat="1">
      <alignment horizontal="left" vertical="center"/>
    </xf>
    <xf numFmtId="49" fontId="55"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4" xfId="0" applyFont="1" applyBorder="1" applyNumberFormat="1">
      <alignment vertical="top"/>
    </xf>
    <xf numFmtId="49" fontId="0" fillId="0" borderId="16" xfId="0" applyFont="1" applyBorder="1" applyNumberFormat="1">
      <alignment vertical="top"/>
    </xf>
    <xf numFmtId="49" fontId="0" fillId="0" borderId="14" xfId="0" applyFont="1" applyBorder="1" applyNumberFormat="1">
      <alignment horizontal="center" vertical="top"/>
    </xf>
    <xf numFmtId="49" fontId="0" fillId="0" borderId="16" xfId="0" applyFont="1" applyBorder="1" applyNumberFormat="1">
      <alignment horizontal="center" vertical="top"/>
    </xf>
    <xf numFmtId="49" fontId="0" fillId="0" borderId="14" xfId="0" applyFont="1" applyBorder="1" applyNumberFormat="1">
      <alignment vertical="top"/>
    </xf>
    <xf numFmtId="49" fontId="0" fillId="45" borderId="19" xfId="0" applyFont="1" applyFill="1" applyBorder="1" applyNumberFormat="1">
      <alignment vertical="top"/>
    </xf>
    <xf numFmtId="49" fontId="0" fillId="0" borderId="16" xfId="0" applyFont="1" applyBorder="1" applyNumberFormat="1">
      <alignment horizontal="center" vertical="top"/>
    </xf>
    <xf numFmtId="49" fontId="0" fillId="46" borderId="14" xfId="0" applyFont="1" applyFill="1" applyBorder="1" applyNumberFormat="1">
      <alignment vertical="top"/>
    </xf>
    <xf numFmtId="49" fontId="0" fillId="0" borderId="17" xfId="0" applyFont="1" applyBorder="1" applyNumberFormat="1">
      <alignment horizontal="center" vertical="top"/>
    </xf>
    <xf numFmtId="49" fontId="0" fillId="3" borderId="14" xfId="0" applyFont="1" applyFill="1" applyBorder="1" applyNumberFormat="1">
      <alignment vertical="top"/>
    </xf>
    <xf numFmtId="49" fontId="0" fillId="47" borderId="14" xfId="0" applyFont="1" applyFill="1" applyBorder="1" applyNumberFormat="1">
      <alignment vertical="top"/>
    </xf>
    <xf numFmtId="49" fontId="0" fillId="16" borderId="19" xfId="0" applyFont="1" applyFill="1" applyBorder="1" applyNumberFormat="1">
      <alignment vertical="top"/>
    </xf>
    <xf numFmtId="49" fontId="0" fillId="5" borderId="16" xfId="0" applyFont="1" applyFill="1" applyBorder="1" applyNumberFormat="1">
      <alignment vertical="top"/>
    </xf>
    <xf numFmtId="49" fontId="0" fillId="5" borderId="14" xfId="0" applyFont="1" applyFill="1" applyBorder="1" applyNumberFormat="1">
      <alignment vertical="top"/>
    </xf>
    <xf numFmtId="49" fontId="0" fillId="16" borderId="14"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7" borderId="0" xfId="79" applyFont="1" applyFill="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6" fillId="0" borderId="13" xfId="0" applyFont="1" applyBorder="1" applyNumberFormat="1">
      <alignment vertical="top" wrapText="1"/>
    </xf>
    <xf numFmtId="0" fontId="0" fillId="0" borderId="13" xfId="0" applyFont="1" applyBorder="1" applyNumberFormat="1">
      <alignment vertical="top" wrapText="1"/>
    </xf>
    <xf numFmtId="0" fontId="22" fillId="0" borderId="20" xfId="0" applyFont="1" applyBorder="1" applyNumberFormat="1">
      <alignment vertical="top" wrapText="1"/>
    </xf>
    <xf numFmtId="0" fontId="0" fillId="0" borderId="0" xfId="0" applyFont="1" applyNumberFormat="1">
      <alignment vertical="top"/>
    </xf>
    <xf numFmtId="0" fontId="0" fillId="0" borderId="14" xfId="0" applyFont="1" applyBorder="1" applyNumberFormat="1">
      <alignment vertical="top" wrapText="1"/>
    </xf>
    <xf numFmtId="49" fontId="0" fillId="0" borderId="14" xfId="0" applyFont="1" applyBorder="1" applyNumberFormat="1">
      <alignment vertical="top" wrapText="1"/>
    </xf>
    <xf numFmtId="49" fontId="0" fillId="0" borderId="19" xfId="0" applyFont="1" applyBorder="1" applyNumberFormat="1">
      <alignment vertical="top"/>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49" fontId="0" fillId="0" borderId="0" xfId="0" applyFont="1" applyNumberFormat="1">
      <alignment vertical="top"/>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107" fillId="0" borderId="0" xfId="0" applyFont="1" applyNumberFormat="1">
      <alignment vertical="center" wrapText="1"/>
    </xf>
    <xf numFmtId="0" fontId="107" fillId="0" borderId="0" xfId="0" applyFont="1" applyNumberFormat="1">
      <alignment horizontal="left" vertical="center" wrapText="1"/>
    </xf>
    <xf numFmtId="49" fontId="122" fillId="0" borderId="0" xfId="0" applyFont="1" applyNumberFormat="1">
      <alignment wrapText="1"/>
    </xf>
    <xf numFmtId="0" fontId="107"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71" fillId="0" borderId="0" xfId="0" applyFont="1" applyNumberFormat="1">
      <alignment wrapText="1"/>
    </xf>
    <xf numFmtId="0" fontId="22" fillId="48" borderId="40" xfId="0" applyFont="1" applyFill="1" applyBorder="1" applyNumberFormat="1">
      <alignment horizontal="right" vertical="center" wrapText="1" indent="1"/>
    </xf>
    <xf numFmtId="0" fontId="22" fillId="48" borderId="67" xfId="0" applyFont="1" applyFill="1" applyBorder="1" applyNumberFormat="1">
      <alignment horizontal="right" vertical="center" wrapText="1" inden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0" xfId="0" applyFont="1" applyNumberFormat="1">
      <alignment vertical="center" wrapText="1"/>
    </xf>
    <xf numFmtId="0" fontId="0" fillId="55" borderId="63" xfId="0" applyFont="1" applyFill="1" applyBorder="1" applyNumberFormat="1">
      <alignment horizontal="center"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22" fillId="48" borderId="0" xfId="0" applyFont="1" applyFill="1" applyNumberFormat="1">
      <alignment horizontal="right" vertical="center" wrapText="1" inden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125" fillId="0" borderId="0" xfId="0" applyFont="1" applyNumberFormat="1"/>
    <xf numFmtId="0" fontId="125" fillId="0" borderId="40" xfId="0" applyFont="1" applyBorder="1" applyNumberFormat="1">
      <alignment wrapText="1"/>
    </xf>
    <xf numFmtId="0" fontId="125" fillId="0" borderId="0" xfId="0" applyFont="1" applyNumberFormat="1">
      <alignment vertical="top" wrapTex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49" fontId="71" fillId="0" borderId="0" xfId="0" applyFont="1" applyNumberFormat="1">
      <alignment vertical="top" wrapText="1"/>
    </xf>
    <xf numFmtId="0" fontId="38" fillId="0" borderId="0" xfId="0" applyFont="1" applyNumberFormat="1"/>
    <xf numFmtId="0" fontId="68" fillId="0" borderId="0" xfId="0" applyFont="1" applyNumberFormat="1">
      <alignment vertical="center" wrapText="1"/>
    </xf>
    <xf numFmtId="0" fontId="96" fillId="0" borderId="0" xfId="0" applyFont="1" applyNumberFormat="1">
      <alignment horizontal="left" vertical="center" wrapText="1"/>
    </xf>
    <xf numFmtId="0" fontId="68" fillId="0" borderId="0" xfId="0" applyFont="1" applyNumberFormat="1">
      <alignment horizontal="left" vertical="center" wrapText="1"/>
    </xf>
    <xf numFmtId="0" fontId="68" fillId="0" borderId="0" xfId="0" applyFont="1" applyNumberFormat="1">
      <alignment vertical="center" wrapText="1"/>
    </xf>
    <xf numFmtId="0" fontId="40" fillId="0" borderId="0" xfId="0" applyFont="1" applyNumberFormat="1">
      <alignment horizontal="center" vertical="center" wrapText="1"/>
    </xf>
    <xf numFmtId="0" fontId="40"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horizontal="left" vertical="center" wrapText="1"/>
    </xf>
    <xf numFmtId="0" fontId="23" fillId="0" borderId="0" xfId="0" applyFont="1" applyNumberFormat="1">
      <alignment horizontal="left" vertical="top" indent="1"/>
    </xf>
    <xf numFmtId="49" fontId="71" fillId="0" borderId="0" xfId="0" applyFont="1" applyNumberFormat="1">
      <alignment vertical="top"/>
    </xf>
    <xf numFmtId="49" fontId="23" fillId="0" borderId="0" xfId="0" applyFont="1" applyNumberFormat="1">
      <alignment vertical="center" wrapText="1"/>
    </xf>
    <xf numFmtId="49" fontId="54"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4" fillId="0" borderId="0" xfId="0" applyFont="1" applyNumberFormat="1">
      <alignment vertical="top"/>
    </xf>
    <xf numFmtId="49" fontId="0" fillId="0" borderId="0" xfId="0" applyFont="1" applyNumberFormat="1">
      <alignment vertical="top"/>
    </xf>
    <xf numFmtId="0" fontId="65" fillId="0" borderId="0" xfId="0" applyFont="1" applyNumberFormat="1">
      <alignment vertical="center" wrapText="1"/>
    </xf>
    <xf numFmtId="0" fontId="96" fillId="0" borderId="0" xfId="0" applyFont="1" applyNumberFormat="1">
      <alignment horizontal="lef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3" fillId="0" borderId="0" xfId="0" applyFont="1" applyNumberFormat="1">
      <alignment vertical="center" wrapText="1"/>
    </xf>
    <xf numFmtId="0" fontId="42" fillId="37" borderId="0" xfId="0" applyFont="1" applyFill="1" applyNumberFormat="1">
      <alignmen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36" fillId="37" borderId="0" xfId="0" applyFont="1" applyFill="1" applyNumberFormat="1">
      <alignment vertical="center" wrapText="1"/>
    </xf>
    <xf numFmtId="0" fontId="101"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23" fillId="37" borderId="28" xfId="0" applyFont="1" applyFill="1" applyBorder="1" applyNumberFormat="1">
      <alignment horizontal="right" vertical="center" wrapText="1" indent="1"/>
    </xf>
    <xf numFmtId="0" fontId="0" fillId="38" borderId="14" xfId="0" applyFont="1" applyFill="1" applyBorder="1" applyNumberFormat="1">
      <alignment horizontal="left" vertical="center" wrapText="1" indent="1"/>
    </xf>
    <xf numFmtId="14" fontId="96" fillId="37" borderId="0" xfId="0" applyFont="1" applyFill="1" applyNumberFormat="1">
      <alignment horizontal="left"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3" fillId="0" borderId="0" xfId="0" applyFont="1" applyNumberFormat="1">
      <alignment horizontal="center" vertical="center" wrapText="1"/>
    </xf>
    <xf numFmtId="0" fontId="23" fillId="0" borderId="0" xfId="0" applyFont="1" applyNumberFormat="1">
      <alignment vertical="center" wrapText="1"/>
    </xf>
    <xf numFmtId="0" fontId="41" fillId="0" borderId="0" xfId="0" applyFont="1" applyNumberFormat="1">
      <alignment vertical="center" wrapText="1"/>
    </xf>
    <xf numFmtId="0" fontId="42" fillId="37" borderId="0" xfId="0" applyFont="1" applyFill="1" applyNumberFormat="1">
      <alignment vertical="center" wrapText="1"/>
    </xf>
    <xf numFmtId="0" fontId="23" fillId="37" borderId="28" xfId="0" applyFont="1" applyFill="1" applyBorder="1" applyNumberFormat="1">
      <alignment horizontal="right" vertical="center" wrapText="1" indent="1"/>
    </xf>
    <xf numFmtId="0" fontId="23" fillId="42" borderId="14"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4"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14" fontId="98" fillId="0" borderId="14" xfId="0" applyFont="1" applyBorder="1" applyNumberFormat="1">
      <alignment horizontal="center" vertical="center" wrapText="1"/>
    </xf>
    <xf numFmtId="167" fontId="0" fillId="42" borderId="14"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8" fillId="0" borderId="14" xfId="0" applyFont="1" applyBorder="1" applyNumberFormat="1">
      <alignment horizontal="left" vertical="center" wrapText="1"/>
    </xf>
    <xf numFmtId="49" fontId="23" fillId="37" borderId="28" xfId="0" applyFont="1" applyFill="1" applyBorder="1" applyNumberFormat="1">
      <alignment horizontal="right" vertical="center" wrapText="1" indent="1"/>
    </xf>
    <xf numFmtId="167" fontId="0" fillId="42" borderId="14" xfId="0" applyFont="1" applyFill="1" applyBorder="1" applyNumberFormat="1">
      <alignment horizontal="left" vertical="center" wrapText="1" indent="1"/>
      <protection locked="0"/>
    </xf>
    <xf numFmtId="49" fontId="54" fillId="0" borderId="0" xfId="0" applyFont="1" applyNumberFormat="1">
      <alignment vertical="center" wrapText="1"/>
    </xf>
    <xf numFmtId="0" fontId="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167" fontId="0" fillId="42" borderId="14" xfId="0" applyFont="1" applyFill="1" applyBorder="1" applyNumberFormat="1">
      <alignment horizontal="left" vertical="center" wrapText="1" indent="1"/>
      <protection locked="0"/>
    </xf>
    <xf numFmtId="0" fontId="0" fillId="37" borderId="0" xfId="0" applyFont="1" applyFill="1" applyNumberFormat="1">
      <alignment horizontal="right" vertical="center" wrapText="1" indent="1"/>
    </xf>
    <xf numFmtId="0" fontId="101"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42" borderId="14" xfId="0" applyFont="1" applyFill="1" applyBorder="1" applyNumberFormat="1">
      <alignment horizontal="left" vertical="center" wrapText="1" indent="1"/>
      <protection locked="0"/>
    </xf>
    <xf numFmtId="49" fontId="13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49" fontId="130" fillId="42" borderId="14" xfId="0" applyFont="1" applyFill="1" applyBorder="1" applyNumberFormat="1">
      <alignment horizontal="left" vertical="center" wrapText="1" indent="1"/>
      <protection locked="0"/>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49" fontId="23" fillId="38" borderId="14"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8"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2" borderId="14" xfId="0" applyFont="1" applyFill="1" applyBorder="1" applyNumberFormat="1">
      <alignment horizontal="left" vertical="center" wrapText="1" indent="1"/>
      <protection locked="0"/>
    </xf>
    <xf numFmtId="0" fontId="23" fillId="42" borderId="14" xfId="0" applyFont="1" applyFill="1" applyBorder="1" applyNumberFormat="1">
      <alignment horizontal="left" vertical="center" wrapText="1" indent="1"/>
      <protection locked="0"/>
    </xf>
    <xf numFmtId="0" fontId="66" fillId="37" borderId="0" xfId="0" applyFont="1" applyFill="1" applyNumberFormat="1">
      <alignment horizontal="right" vertical="center" wrapText="1" indent="1"/>
    </xf>
    <xf numFmtId="0" fontId="66" fillId="37" borderId="0" xfId="0" applyFont="1" applyFill="1" applyNumberFormat="1">
      <alignment horizontal="left" vertical="center" wrapText="1" indent="1"/>
    </xf>
    <xf numFmtId="49" fontId="23" fillId="43" borderId="14" xfId="0" applyFont="1" applyFill="1" applyBorder="1" applyNumberFormat="1">
      <alignment horizontal="left" vertical="center" wrapText="1" inden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40" fillId="0" borderId="0" xfId="0" applyFont="1" applyNumberFormat="1">
      <alignment horizontal="left" vertical="center" wrapText="1"/>
    </xf>
    <xf numFmtId="49" fontId="32" fillId="0" borderId="14" xfId="0" applyFont="1" applyBorder="1" applyNumberFormat="1">
      <alignment horizontal="left" vertical="center" wrapText="1" indent="1"/>
    </xf>
    <xf numFmtId="0" fontId="40" fillId="0" borderId="0" xfId="0" applyFont="1" applyNumberFormat="1">
      <alignment horizontal="left" vertical="center" wrapText="1"/>
    </xf>
    <xf numFmtId="0" fontId="23" fillId="0" borderId="0" xfId="0" applyFont="1" applyNumberFormat="1">
      <alignment vertical="center" wrapText="1"/>
    </xf>
    <xf numFmtId="14" fontId="97" fillId="0" borderId="0" xfId="0" applyFont="1" applyNumberFormat="1">
      <alignment horizontal="center" vertical="center" wrapText="1"/>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88" fillId="0" borderId="0" xfId="0" applyFont="1" applyNumberFormat="1">
      <alignment vertical="center" wrapText="1"/>
    </xf>
    <xf numFmtId="0" fontId="23" fillId="43" borderId="14" xfId="0" applyFont="1" applyFill="1" applyBorder="1" applyNumberFormat="1">
      <alignment horizontal="left" vertical="center" wrapText="1" indent="1"/>
    </xf>
    <xf numFmtId="167" fontId="0" fillId="0" borderId="13" xfId="0" applyFont="1" applyBorder="1" applyNumberFormat="1">
      <alignment horizontal="left" vertical="center" wrapText="1" indent="1"/>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xf>
    <xf numFmtId="0" fontId="96" fillId="0" borderId="0" xfId="0" applyFont="1" applyNumberFormat="1">
      <alignment horizontal="left" vertical="center" wrapText="1"/>
    </xf>
    <xf numFmtId="49" fontId="40" fillId="0" borderId="0" xfId="0" applyFont="1" applyNumberFormat="1">
      <alignment horizontal="left" vertical="center" wrapText="1"/>
    </xf>
    <xf numFmtId="49" fontId="42"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2" borderId="14" xfId="0" applyFont="1" applyFill="1" applyBorder="1" applyNumberFormat="1">
      <alignment horizontal="left" vertical="center" wrapText="1" indent="1"/>
      <protection locked="0"/>
    </xf>
    <xf numFmtId="49" fontId="130" fillId="42" borderId="14"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6" fillId="0" borderId="0" xfId="0" applyFont="1" applyNumberFormat="1">
      <alignment horizontal="left" vertical="center" wrapText="1"/>
    </xf>
    <xf numFmtId="0" fontId="40" fillId="0" borderId="0" xfId="0" applyFont="1" applyNumberFormat="1">
      <alignment horizontal="left" vertical="center" wrapText="1"/>
    </xf>
    <xf numFmtId="0" fontId="41"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40" fillId="0" borderId="0" xfId="0" applyFont="1" applyNumberFormat="1">
      <alignment horizontal="center" vertical="center" wrapText="1"/>
    </xf>
    <xf numFmtId="0" fontId="54" fillId="0" borderId="0" xfId="0" applyFont="1" applyNumberFormat="1">
      <alignment vertical="center" wrapText="1"/>
    </xf>
    <xf numFmtId="0" fontId="55" fillId="0" borderId="0" xfId="0" applyFont="1" applyNumberFormat="1">
      <alignment vertical="center" wrapText="1"/>
    </xf>
    <xf numFmtId="0" fontId="77"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center" vertical="center" wrapText="1"/>
    </xf>
    <xf numFmtId="0" fontId="55" fillId="0" borderId="0" xfId="0" applyFont="1" applyNumberFormat="1">
      <alignment horizontal="left" vertical="center" wrapText="1" indent="1"/>
    </xf>
    <xf numFmtId="0" fontId="55" fillId="0" borderId="0" xfId="0" applyFont="1" applyNumberFormat="1">
      <alignment horizontal="left" vertical="center" indent="1"/>
    </xf>
    <xf numFmtId="0" fontId="61" fillId="0" borderId="0" xfId="0" applyFont="1" applyNumberFormat="1">
      <alignment vertical="center" wrapText="1"/>
    </xf>
    <xf numFmtId="0" fontId="23"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50"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17"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4" xfId="0" applyFont="1" applyBorder="1" applyNumberFormat="1">
      <alignment horizontal="center" vertical="center" wrapText="1"/>
    </xf>
    <xf numFmtId="0" fontId="44" fillId="0" borderId="0" xfId="0" applyFont="1" applyNumberFormat="1">
      <alignment horizontal="center" vertical="center" wrapText="1"/>
    </xf>
    <xf numFmtId="49" fontId="44" fillId="0" borderId="17" xfId="0" applyFont="1" applyBorder="1" applyNumberFormat="1">
      <alignment horizontal="center" vertical="center" wrapText="1"/>
    </xf>
    <xf numFmtId="49" fontId="44" fillId="0" borderId="17" xfId="0" applyFont="1" applyBorder="1" applyNumberFormat="1">
      <alignment horizontal="center"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49" fontId="23" fillId="40" borderId="21" xfId="0" applyFont="1" applyFill="1" applyBorder="1" applyNumberFormat="1">
      <alignment horizontal="center" vertical="center" wrapText="1"/>
    </xf>
    <xf numFmtId="49" fontId="54" fillId="40" borderId="21" xfId="0" applyFont="1" applyFill="1" applyBorder="1" applyNumberFormat="1">
      <alignment horizontal="left" vertical="center" wrapText="1"/>
    </xf>
    <xf numFmtId="49" fontId="54" fillId="40" borderId="22" xfId="0" applyFont="1" applyFill="1" applyBorder="1" applyNumberFormat="1">
      <alignment horizontal="left" vertical="center" wrapText="1"/>
    </xf>
    <xf numFmtId="0" fontId="55" fillId="0" borderId="24" xfId="0" applyFont="1" applyBorder="1" applyNumberFormat="1">
      <alignment vertical="center"/>
    </xf>
    <xf numFmtId="0" fontId="50" fillId="0" borderId="0" xfId="0" applyFont="1" applyNumberFormat="1">
      <alignment vertical="center" wrapText="1"/>
    </xf>
    <xf numFmtId="0" fontId="23" fillId="0" borderId="0" xfId="0" applyFont="1" applyNumberFormat="1">
      <alignment horizontal="center"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9" fontId="54" fillId="0" borderId="14" xfId="0" applyFont="1" applyBorder="1" applyNumberFormat="1">
      <alignment horizontal="left" vertical="center" wrapText="1"/>
    </xf>
    <xf numFmtId="0" fontId="55" fillId="0" borderId="0" xfId="0" applyFont="1" applyNumberFormat="1">
      <alignment vertical="center"/>
    </xf>
    <xf numFmtId="0" fontId="55" fillId="0" borderId="0" xfId="0" applyFont="1" applyNumberFormat="1">
      <alignment vertical="center"/>
    </xf>
    <xf numFmtId="49" fontId="0" fillId="0" borderId="0" xfId="0" applyFont="1" applyNumberFormat="1">
      <alignment vertical="top"/>
    </xf>
    <xf numFmtId="0" fontId="44" fillId="0" borderId="26" xfId="0" applyFont="1" applyBorder="1" applyNumberFormat="1">
      <alignment vertical="top" wrapText="1"/>
    </xf>
    <xf numFmtId="0" fontId="23" fillId="0" borderId="25" xfId="0" applyFont="1" applyBorder="1" applyNumberFormat="1">
      <alignment horizontal="center" vertical="center" wrapText="1"/>
    </xf>
    <xf numFmtId="0" fontId="55" fillId="0" borderId="25" xfId="0" applyFont="1" applyBorder="1" applyNumberFormat="1">
      <alignment horizontal="center" vertical="center" wrapText="1"/>
    </xf>
    <xf numFmtId="14" fontId="23" fillId="43" borderId="25" xfId="0" applyFont="1" applyFill="1" applyBorder="1" applyNumberFormat="1">
      <alignment horizontal="left" vertical="center" wrapText="1" indent="1"/>
    </xf>
    <xf numFmtId="49" fontId="23" fillId="38" borderId="25" xfId="0" applyFont="1" applyFill="1" applyBorder="1" applyNumberFormat="1">
      <alignment horizontal="center" vertical="center" wrapText="1"/>
    </xf>
    <xf numFmtId="0" fontId="79" fillId="0" borderId="0" xfId="0" applyFont="1" applyNumberFormat="1">
      <alignment vertical="center" wrapText="1"/>
    </xf>
    <xf numFmtId="49" fontId="54" fillId="0" borderId="0" xfId="0" applyFont="1" applyNumberFormat="1">
      <alignment vertical="top"/>
    </xf>
    <xf numFmtId="49" fontId="55" fillId="0" borderId="0" xfId="0" applyFont="1" applyNumberFormat="1">
      <alignment vertical="top"/>
    </xf>
    <xf numFmtId="0" fontId="0" fillId="0" borderId="0" xfId="0" applyFont="1" applyNumberFormat="1">
      <alignment vertical="center" wrapText="1"/>
    </xf>
    <xf numFmtId="0" fontId="44" fillId="0" borderId="0" xfId="0" applyFont="1" applyNumberFormat="1">
      <alignment vertical="top" wrapText="1"/>
    </xf>
    <xf numFmtId="49" fontId="36" fillId="40" borderId="16" xfId="0" applyFont="1" applyFill="1" applyBorder="1" applyNumberFormat="1">
      <alignment horizontal="right" vertical="center" wrapText="1"/>
    </xf>
    <xf numFmtId="49" fontId="36" fillId="40" borderId="17"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0" fillId="40" borderId="17" xfId="0" applyFont="1" applyFill="1" applyBorder="1" applyNumberFormat="1">
      <alignment horizontal="right" vertical="center" wrapText="1"/>
    </xf>
    <xf numFmtId="49" fontId="0" fillId="40" borderId="15" xfId="0" applyFont="1" applyFill="1" applyBorder="1" applyNumberFormat="1">
      <alignment horizontal="right"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xf>
    <xf numFmtId="0" fontId="55" fillId="0" borderId="0" xfId="0" applyFont="1" applyNumberFormat="1">
      <alignment vertical="center"/>
    </xf>
    <xf numFmtId="0" fontId="50" fillId="0" borderId="0" xfId="0" applyFont="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55" fillId="0" borderId="0" xfId="0" applyFont="1" applyNumberFormat="1">
      <alignment vertical="center" wrapText="1"/>
    </xf>
    <xf numFmtId="49" fontId="23" fillId="40" borderId="16"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48" fillId="40" borderId="17" xfId="0" applyFont="1" applyFill="1" applyBorder="1" applyNumberFormat="1">
      <alignment horizontal="left" vertical="center"/>
    </xf>
    <xf numFmtId="49" fontId="23" fillId="40" borderId="15" xfId="0" applyFont="1" applyFill="1" applyBorder="1" applyNumberFormat="1">
      <alignment horizontal="right" vertical="center" wrapText="1"/>
    </xf>
    <xf numFmtId="0" fontId="45" fillId="0" borderId="0" xfId="0" applyFont="1" applyNumberFormat="1">
      <alignment horizontal="center" vertical="center" wrapText="1"/>
    </xf>
    <xf numFmtId="0" fontId="23" fillId="0" borderId="23" xfId="0" applyFont="1" applyBorder="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99" fillId="0" borderId="0" xfId="0" applyFont="1" applyNumberFormat="1">
      <alignment vertical="center" wrapText="1"/>
    </xf>
    <xf numFmtId="0" fontId="57"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0" xfId="0" applyFont="1" applyNumberFormat="1">
      <alignment vertical="center"/>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54" fillId="0" borderId="0" xfId="0" applyFont="1" applyNumberFormat="1">
      <alignment vertical="center"/>
    </xf>
    <xf numFmtId="0" fontId="49" fillId="0" borderId="0" xfId="0" applyFont="1" applyNumberFormat="1">
      <alignment vertical="center"/>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49"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9" fillId="0" borderId="0" xfId="0" applyFont="1" applyNumberFormat="1">
      <alignment vertical="center"/>
    </xf>
    <xf numFmtId="0" fontId="23" fillId="44" borderId="0" xfId="0" applyFont="1" applyFill="1" applyNumberFormat="1">
      <alignment horizontal="center" vertical="center" wrapText="1"/>
    </xf>
    <xf numFmtId="0" fontId="23" fillId="0" borderId="0" xfId="0" applyFont="1" applyNumberFormat="1">
      <alignment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80" fillId="0" borderId="14" xfId="0" applyFont="1" applyBorder="1" applyNumberFormat="1">
      <alignment horizontal="center" vertical="center" wrapText="1"/>
    </xf>
    <xf numFmtId="0" fontId="23" fillId="0" borderId="0" xfId="0" applyFont="1" applyNumberFormat="1">
      <alignment horizontal="center" vertical="center" wrapText="1"/>
    </xf>
    <xf numFmtId="0" fontId="87"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54" fillId="0" borderId="24" xfId="0" applyFont="1" applyBorder="1" applyNumberFormat="1">
      <alignment vertical="center"/>
    </xf>
    <xf numFmtId="0" fontId="0" fillId="0" borderId="0" xfId="0" applyFont="1" applyNumberFormat="1">
      <alignment vertical="center"/>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54" fillId="0" borderId="24" xfId="0" applyFont="1" applyBorder="1" applyNumberFormat="1">
      <alignment vertical="center"/>
    </xf>
    <xf numFmtId="0" fontId="55"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43" xfId="0" applyFont="1" applyFill="1" applyBorder="1" applyNumberFormat="1">
      <alignment horizontal="center" vertical="center" wrapText="1"/>
    </xf>
    <xf numFmtId="49" fontId="0" fillId="40" borderId="17" xfId="0" applyFont="1" applyFill="1" applyBorder="1" applyNumberFormat="1">
      <alignment horizontal="left" vertical="center"/>
    </xf>
    <xf numFmtId="0" fontId="0" fillId="40" borderId="15"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24" xfId="0" applyFont="1" applyBorder="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1"/>
      <protection locked="0"/>
    </xf>
    <xf numFmtId="49" fontId="48" fillId="40" borderId="15" xfId="0" applyFont="1" applyFill="1" applyBorder="1" applyNumberFormat="1">
      <alignment horizontal="left" vertical="center" indent="1"/>
    </xf>
    <xf numFmtId="0" fontId="23" fillId="43" borderId="25" xfId="0" applyFont="1" applyFill="1" applyBorder="1" applyNumberFormat="1">
      <alignment horizontal="left" vertical="center" wrapText="1" indent="2"/>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8" fillId="40" borderId="17" xfId="0" applyFont="1" applyFill="1" applyBorder="1" applyNumberFormat="1">
      <alignment horizontal="left" vertical="center" indent="2"/>
    </xf>
    <xf numFmtId="0" fontId="0" fillId="0" borderId="0" xfId="0" applyFont="1" applyNumberFormat="1">
      <alignment vertical="center"/>
    </xf>
    <xf numFmtId="0" fontId="54"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49" fillId="0" borderId="0" xfId="0" applyFont="1" applyNumberFormat="1">
      <alignment vertical="center"/>
    </xf>
    <xf numFmtId="0" fontId="56" fillId="0" borderId="0" xfId="0" applyFont="1" applyNumberFormat="1">
      <alignment vertical="center"/>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69"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3" fillId="0" borderId="0" xfId="0" applyFont="1" applyNumberFormat="1">
      <alignment vertical="center"/>
    </xf>
    <xf numFmtId="0" fontId="23" fillId="0" borderId="29" xfId="0" applyFont="1" applyBorder="1" applyNumberFormat="1">
      <alignment horizontal="left" vertical="center" indent="1"/>
    </xf>
    <xf numFmtId="0" fontId="72" fillId="0" borderId="0" xfId="0" applyFont="1" applyNumberFormat="1">
      <alignment vertical="center"/>
    </xf>
    <xf numFmtId="0" fontId="55" fillId="0" borderId="0" xfId="0" applyFont="1" applyNumberFormat="1">
      <alignment vertical="center"/>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72"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9" fillId="0" borderId="0" xfId="0" applyFont="1" applyNumberFormat="1">
      <alignment vertical="center"/>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xf>
    <xf numFmtId="0" fontId="55" fillId="0" borderId="0" xfId="0" applyFont="1" applyNumberFormat="1">
      <alignment vertical="center"/>
    </xf>
    <xf numFmtId="49" fontId="55" fillId="37" borderId="0" xfId="0" applyFont="1" applyFill="1" applyNumberFormat="1">
      <alignment horizontal="center" vertical="center" wrapText="1"/>
    </xf>
    <xf numFmtId="49" fontId="55" fillId="37" borderId="29" xfId="0" applyFont="1" applyFill="1" applyBorder="1" applyNumberFormat="1">
      <alignment horizontal="center" vertical="center" wrapText="1"/>
    </xf>
    <xf numFmtId="0" fontId="45" fillId="0" borderId="0" xfId="0" applyFont="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4" xfId="0" applyFont="1" applyBorder="1" applyNumberFormat="1">
      <alignment horizontal="center" vertical="top"/>
    </xf>
    <xf numFmtId="0" fontId="23" fillId="0" borderId="14" xfId="0" applyFont="1" applyBorder="1" applyNumberFormat="1">
      <alignment horizontal="left" vertical="top" wrapText="1"/>
    </xf>
    <xf numFmtId="0" fontId="23" fillId="43" borderId="19"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22"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3" borderId="38" xfId="0" applyFont="1" applyFill="1" applyBorder="1" applyNumberFormat="1">
      <alignment horizontal="center" vertical="top" wrapText="1"/>
    </xf>
    <xf numFmtId="0" fontId="0" fillId="0" borderId="24"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horizontal="left" vertical="top"/>
    </xf>
    <xf numFmtId="0" fontId="23" fillId="43" borderId="25" xfId="0" applyFont="1" applyFill="1" applyBorder="1" applyNumberFormat="1">
      <alignment horizontal="center" vertical="top" wrapText="1"/>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9" xfId="0" applyFont="1" applyBorder="1" applyNumberFormat="1">
      <alignment horizontal="center" vertical="top"/>
    </xf>
    <xf numFmtId="0" fontId="23" fillId="0" borderId="19" xfId="0" applyFont="1" applyBorder="1" applyNumberFormat="1">
      <alignment horizontal="left" vertical="top" wrapText="1"/>
    </xf>
    <xf numFmtId="0" fontId="0" fillId="0" borderId="38" xfId="0" applyFont="1" applyBorder="1" applyNumberFormat="1">
      <alignment horizontal="center" vertical="top"/>
    </xf>
    <xf numFmtId="0" fontId="23" fillId="0" borderId="38" xfId="0" applyFont="1" applyBorder="1" applyNumberFormat="1">
      <alignment horizontal="left" vertical="top" wrapText="1"/>
    </xf>
    <xf numFmtId="0" fontId="0" fillId="0" borderId="25" xfId="0" applyFont="1" applyBorder="1" applyNumberFormat="1">
      <alignment horizontal="center" vertical="top"/>
    </xf>
    <xf numFmtId="0" fontId="23" fillId="0" borderId="25" xfId="0" applyFont="1" applyBorder="1" applyNumberFormat="1">
      <alignment horizontal="left" vertical="top"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43" borderId="14" xfId="0" applyFont="1" applyFill="1" applyBorder="1" applyNumberFormat="1">
      <alignment horizontal="left" vertical="top" wrapText="1"/>
    </xf>
    <xf numFmtId="0" fontId="0"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49" fontId="23" fillId="43" borderId="19"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0" fillId="43" borderId="14"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49" fontId="23" fillId="43" borderId="38" xfId="0" applyFont="1" applyFill="1" applyBorder="1" applyNumberFormat="1">
      <alignment horizontal="center"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0" fillId="0" borderId="14" xfId="0" applyFont="1" applyBorder="1" applyNumberFormat="1">
      <alignment vertical="top"/>
    </xf>
    <xf numFmtId="49" fontId="0" fillId="39" borderId="14" xfId="0" applyFont="1" applyFill="1" applyBorder="1" applyNumberFormat="1">
      <alignment horizontal="left" vertical="top"/>
      <protection locked="0"/>
    </xf>
    <xf numFmtId="49" fontId="0" fillId="43" borderId="14" xfId="0" applyFont="1" applyFill="1" applyBorder="1" applyNumberFormat="1">
      <alignment horizontal="left" vertical="center" wrapText="1"/>
      <protection locked="0"/>
    </xf>
    <xf numFmtId="49" fontId="23" fillId="43" borderId="25" xfId="0" applyFont="1" applyFill="1" applyBorder="1" applyNumberFormat="1">
      <alignment horizontal="center" vertical="center" wrapText="1"/>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31" xfId="0" applyFont="1" applyFill="1" applyBorder="1" applyNumberFormat="1">
      <alignment horizontal="left" vertical="center"/>
    </xf>
    <xf numFmtId="49" fontId="0" fillId="0" borderId="0" xfId="0" applyFont="1" applyNumberFormat="1">
      <alignment vertical="center"/>
    </xf>
    <xf numFmtId="0" fontId="0" fillId="0" borderId="0" xfId="0" applyFont="1" applyNumberFormat="1">
      <alignment vertical="center"/>
    </xf>
    <xf numFmtId="0" fontId="45" fillId="0" borderId="0" xfId="0" applyFont="1" applyNumberFormat="1">
      <alignment horizontal="center" vertical="center" wrapText="1"/>
    </xf>
    <xf numFmtId="49" fontId="0" fillId="0" borderId="38" xfId="0" applyFont="1" applyBorder="1" applyNumberFormat="1">
      <alignment vertical="top"/>
    </xf>
    <xf numFmtId="49" fontId="0" fillId="0" borderId="38" xfId="0" applyFont="1" applyBorder="1" applyNumberFormat="1">
      <alignment horizontal="left" vertical="top"/>
    </xf>
    <xf numFmtId="0" fontId="23" fillId="43" borderId="38" xfId="0" applyFont="1" applyFill="1" applyBorder="1" applyNumberFormat="1">
      <alignment horizontal="center" vertical="top" wrapText="1"/>
    </xf>
    <xf numFmtId="49" fontId="0" fillId="43" borderId="38" xfId="0" applyFont="1" applyFill="1" applyBorder="1" applyNumberFormat="1">
      <alignment horizontal="left" vertical="top"/>
    </xf>
    <xf numFmtId="49" fontId="0" fillId="39" borderId="38" xfId="0" applyFont="1" applyFill="1" applyBorder="1" applyNumberFormat="1">
      <alignment vertical="top"/>
      <protection locked="0"/>
    </xf>
    <xf numFmtId="0" fontId="0" fillId="43" borderId="14" xfId="0" applyFont="1" applyFill="1" applyBorder="1" applyNumberFormat="1">
      <alignment horizontal="left" vertical="center" wrapText="1"/>
      <protection locked="0"/>
    </xf>
    <xf numFmtId="49" fontId="23" fillId="43" borderId="19" xfId="0" applyFont="1" applyFill="1" applyBorder="1" applyNumberFormat="1">
      <alignment horizontal="center" vertical="center" wrapText="1"/>
    </xf>
    <xf numFmtId="49" fontId="0" fillId="37" borderId="14" xfId="0" applyFont="1" applyFill="1" applyBorder="1" applyNumberFormat="1">
      <alignment horizontal="left" vertical="center" wrapText="1"/>
    </xf>
    <xf numFmtId="49"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49" fontId="23" fillId="39" borderId="14" xfId="0" applyFont="1" applyFill="1" applyBorder="1" applyNumberFormat="1">
      <alignment horizontal="left" vertical="center" wrapText="1"/>
      <protection locked="0"/>
    </xf>
    <xf numFmtId="0" fontId="23" fillId="0" borderId="0" xfId="0" applyFont="1" applyNumberFormat="1">
      <alignment horizontal="left" vertical="center" indent="1"/>
    </xf>
    <xf numFmtId="0" fontId="0" fillId="0" borderId="0" xfId="0" applyFont="1" applyNumberFormat="1">
      <alignment horizontal="left" vertical="center" indent="1"/>
    </xf>
    <xf numFmtId="0" fontId="0" fillId="0" borderId="0" xfId="0" applyFont="1" applyNumberFormat="1">
      <alignment vertical="center"/>
    </xf>
    <xf numFmtId="49" fontId="23" fillId="43" borderId="38" xfId="0" applyFont="1" applyFill="1" applyBorder="1" applyNumberFormat="1">
      <alignment horizontal="center"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0" fillId="0" borderId="14" xfId="0" applyFont="1" applyBorder="1" applyNumberFormat="1">
      <alignment vertical="top"/>
    </xf>
    <xf numFmtId="49" fontId="0" fillId="43" borderId="14" xfId="0" applyFont="1" applyFill="1" applyBorder="1" applyNumberFormat="1">
      <alignment horizontal="left" vertical="center" wrapText="1"/>
      <protection locked="0"/>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48" fillId="40" borderId="31" xfId="0" applyFont="1" applyFill="1" applyBorder="1" applyNumberFormat="1">
      <alignment horizontal="left" vertical="center"/>
    </xf>
    <xf numFmtId="49" fontId="0" fillId="42" borderId="14" xfId="0" applyFont="1" applyFill="1" applyBorder="1" applyNumberFormat="1">
      <alignment horizontal="left" vertical="center" wrapText="1"/>
      <protection locked="0"/>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0" fontId="0" fillId="0" borderId="14" xfId="0" applyFont="1" applyBorder="1" applyNumberFormat="1">
      <alignment horizontal="center" vertical="center"/>
    </xf>
    <xf numFmtId="49" fontId="0" fillId="39" borderId="14" xfId="0" applyFont="1" applyFill="1" applyBorder="1" applyNumberFormat="1">
      <alignment horizontal="left" vertical="top"/>
      <protection locked="0"/>
    </xf>
    <xf numFmtId="0" fontId="48" fillId="40" borderId="15" xfId="0" applyFont="1" applyFill="1" applyBorder="1" applyNumberFormat="1">
      <alignment horizontal="left" vertical="center"/>
    </xf>
    <xf numFmtId="49" fontId="0" fillId="43" borderId="14" xfId="0" applyFont="1" applyFill="1" applyBorder="1" applyNumberFormat="1">
      <alignment horizontal="left" vertical="top"/>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5" fillId="0" borderId="0" xfId="0" applyFont="1" applyNumberFormat="1">
      <alignment vertical="top"/>
    </xf>
    <xf numFmtId="49" fontId="55" fillId="0" borderId="0" xfId="0" applyFont="1" applyNumberFormat="1">
      <alignment horizontal="center" vertical="center"/>
    </xf>
    <xf numFmtId="49" fontId="55" fillId="0" borderId="0" xfId="0" applyFont="1" applyNumberFormat="1">
      <alignment horizontal="center" vertical="center"/>
    </xf>
    <xf numFmtId="49" fontId="54" fillId="0" borderId="0" xfId="0" applyFont="1" applyNumberFormat="1">
      <alignment horizontal="center" vertical="center"/>
    </xf>
    <xf numFmtId="49" fontId="72"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2" fillId="0" borderId="0" xfId="0" applyFont="1" applyNumberFormat="1">
      <alignment horizontal="left" vertical="center" wrapText="1" indent="1"/>
    </xf>
    <xf numFmtId="0" fontId="50" fillId="0" borderId="0" xfId="0" applyFont="1" applyNumberFormat="1">
      <alignment vertical="center"/>
    </xf>
    <xf numFmtId="0" fontId="118" fillId="0" borderId="0" xfId="0" applyFont="1" applyNumberFormat="1">
      <alignment vertical="center" wrapText="1"/>
    </xf>
    <xf numFmtId="0" fontId="119" fillId="0" borderId="0" xfId="0" applyFont="1" applyNumberFormat="1">
      <alignment vertical="center" wrapText="1"/>
    </xf>
    <xf numFmtId="0" fontId="5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49" fontId="23" fillId="0" borderId="0" xfId="0" applyFont="1" applyNumberFormat="1">
      <alignment vertical="top"/>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xf>
    <xf numFmtId="49" fontId="23" fillId="0" borderId="39" xfId="0" applyFont="1" applyBorder="1" applyNumberFormat="1">
      <alignment vertical="center" wrapText="1"/>
    </xf>
    <xf numFmtId="0" fontId="23"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21" xfId="0" applyFont="1" applyBorder="1" applyNumberFormat="1">
      <alignment vertical="center" wrapText="1"/>
    </xf>
    <xf numFmtId="49" fontId="23" fillId="0" borderId="24"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49" fontId="45" fillId="0" borderId="0" xfId="0" applyFont="1" applyNumberFormat="1">
      <alignment horizontal="center" vertical="center" wrapText="1"/>
    </xf>
    <xf numFmtId="0" fontId="48" fillId="0" borderId="0" xfId="0" applyFont="1" applyNumberFormat="1">
      <alignment vertical="center"/>
    </xf>
    <xf numFmtId="0" fontId="48" fillId="0" borderId="24" xfId="0" applyFont="1" applyBorder="1" applyNumberFormat="1">
      <alignment horizontal="left" vertical="center"/>
    </xf>
    <xf numFmtId="49" fontId="23" fillId="0" borderId="19" xfId="0" applyFont="1" applyBorder="1" applyNumberFormat="1">
      <alignment horizontal="center" vertical="center"/>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72" fillId="0" borderId="32" xfId="0" applyFont="1" applyBorder="1" applyNumberFormat="1">
      <alignment vertical="top"/>
    </xf>
    <xf numFmtId="49" fontId="72" fillId="0" borderId="29" xfId="0" applyFont="1" applyBorder="1" applyNumberFormat="1">
      <alignment vertical="top"/>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6"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23" fillId="37" borderId="0" xfId="0" applyFont="1" applyFill="1" applyNumberFormat="1"/>
    <xf numFmtId="0" fontId="66" fillId="37" borderId="0" xfId="0" applyFont="1" applyFill="1" applyNumberFormat="1"/>
    <xf numFmtId="0" fontId="55" fillId="37" borderId="0" xfId="0" applyFont="1" applyFill="1" applyNumberFormat="1"/>
    <xf numFmtId="0" fontId="66" fillId="37" borderId="0" xfId="0" applyFont="1" applyFill="1" applyNumberFormat="1">
      <alignment horizontal="center"/>
    </xf>
    <xf numFmtId="0" fontId="95" fillId="0" borderId="0" xfId="0" applyFont="1" applyNumberFormat="1">
      <alignment vertical="center"/>
    </xf>
    <xf numFmtId="0" fontId="94" fillId="0" borderId="0" xfId="0" applyFont="1" applyNumberFormat="1">
      <alignment vertical="center"/>
    </xf>
    <xf numFmtId="0" fontId="78" fillId="37" borderId="0" xfId="0" applyFont="1" applyFill="1" applyNumberFormat="1">
      <alignment horizontal="right" vertical="center"/>
    </xf>
    <xf numFmtId="0" fontId="23" fillId="37" borderId="0" xfId="0" applyFont="1" applyFill="1" applyNumberFormat="1">
      <alignment vertical="center" wrapText="1"/>
    </xf>
    <xf numFmtId="0" fontId="55" fillId="37" borderId="0" xfId="0" applyFont="1" applyFill="1" applyNumberFormat="1">
      <alignment vertical="center" wrapText="1"/>
    </xf>
    <xf numFmtId="0" fontId="23" fillId="37" borderId="0" xfId="0" applyFont="1" applyFill="1" applyNumberFormat="1">
      <alignment horizontal="center" vertical="center" wrapText="1"/>
    </xf>
    <xf numFmtId="0" fontId="98" fillId="37" borderId="0" xfId="0" applyFont="1" applyFill="1" applyNumberFormat="1">
      <alignment horizontal="left" vertical="center"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44" fillId="37" borderId="0" xfId="0" applyFont="1" applyFill="1" applyNumberFormat="1">
      <alignment horizontal="center" vertical="center"/>
    </xf>
    <xf numFmtId="49" fontId="55" fillId="0" borderId="14" xfId="0" applyFont="1" applyBorder="1" applyNumberFormat="1">
      <alignment horizontal="center" vertical="center"/>
    </xf>
    <xf numFmtId="0" fontId="55" fillId="0" borderId="14" xfId="0" applyFont="1" applyBorder="1" applyNumberFormat="1">
      <alignment vertical="center" wrapText="1"/>
    </xf>
    <xf numFmtId="0" fontId="55" fillId="0" borderId="14" xfId="0" applyFont="1" applyBorder="1" applyNumberFormat="1">
      <alignment horizontal="left" vertical="center" wrapText="1"/>
    </xf>
    <xf numFmtId="0" fontId="70" fillId="37" borderId="0" xfId="0" applyFont="1" applyFill="1" applyNumberFormat="1"/>
    <xf numFmtId="49" fontId="0" fillId="37" borderId="14" xfId="0" applyFont="1" applyFill="1" applyBorder="1" applyNumberFormat="1">
      <alignment horizontal="center" vertical="center"/>
    </xf>
    <xf numFmtId="0" fontId="0" fillId="37" borderId="14" xfId="0" applyFont="1" applyFill="1" applyBorder="1" applyNumberFormat="1">
      <alignment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vertical="center" wrapText="1"/>
    </xf>
    <xf numFmtId="0" fontId="0" fillId="37" borderId="14" xfId="0" applyFont="1" applyFill="1" applyBorder="1" applyNumberFormat="1">
      <alignment horizontal="left" vertical="center" wrapText="1" indent="1"/>
    </xf>
    <xf numFmtId="49" fontId="0" fillId="42" borderId="14" xfId="0" applyFont="1" applyFill="1" applyBorder="1" applyNumberFormat="1">
      <alignment horizontal="left" vertical="center" wrapText="1"/>
      <protection locked="0"/>
    </xf>
    <xf numFmtId="0" fontId="55" fillId="0" borderId="14"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95" fillId="0" borderId="0" xfId="0" applyFont="1" applyNumberFormat="1">
      <alignment vertical="center" wrapText="1"/>
    </xf>
    <xf numFmtId="0" fontId="0" fillId="37" borderId="14" xfId="0" applyFont="1" applyFill="1" applyBorder="1" applyNumberFormat="1">
      <alignment horizontal="center" vertical="center"/>
    </xf>
    <xf numFmtId="0" fontId="0" fillId="37" borderId="14" xfId="0" applyFont="1" applyFill="1" applyBorder="1" applyNumberFormat="1">
      <alignment horizontal="left" vertical="center" wrapText="1" indent="2"/>
    </xf>
    <xf numFmtId="49" fontId="0" fillId="0" borderId="14" xfId="0" applyFont="1" applyBorder="1" applyNumberFormat="1">
      <alignment horizontal="left" vertical="center" wrapText="1"/>
    </xf>
    <xf numFmtId="167" fontId="0" fillId="0" borderId="14" xfId="0" applyFont="1" applyBorder="1" applyNumberFormat="1">
      <alignment horizontal="left" vertical="center" wrapText="1" indent="1"/>
    </xf>
    <xf numFmtId="49" fontId="23" fillId="37" borderId="0" xfId="0" applyFont="1" applyFill="1" applyNumberFormat="1">
      <alignment vertical="center" wrapText="1"/>
    </xf>
    <xf numFmtId="0" fontId="23" fillId="37" borderId="26" xfId="0" applyFont="1" applyFill="1" applyBorder="1" applyNumberFormat="1">
      <alignment vertical="center" wrapText="1"/>
    </xf>
    <xf numFmtId="0" fontId="23" fillId="40" borderId="16" xfId="0" applyFont="1" applyFill="1" applyBorder="1" applyNumberFormat="1">
      <alignment horizontal="center"/>
    </xf>
    <xf numFmtId="49" fontId="48" fillId="40" borderId="17" xfId="0" applyFont="1" applyFill="1" applyBorder="1" applyNumberFormat="1">
      <alignment horizontal="left" vertical="center" indent="1"/>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0" fontId="55" fillId="37" borderId="0" xfId="0" applyFont="1" applyFill="1" applyNumberFormat="1"/>
    <xf numFmtId="49" fontId="55" fillId="37" borderId="14" xfId="0" applyFont="1" applyFill="1" applyBorder="1" applyNumberFormat="1">
      <alignment horizontal="center" vertical="center"/>
    </xf>
    <xf numFmtId="0" fontId="55" fillId="37" borderId="14" xfId="0" applyFont="1" applyFill="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0" fontId="0" fillId="37" borderId="14" xfId="0" applyFont="1" applyFill="1" applyBorder="1" applyNumberFormat="1">
      <alignment horizontal="left" vertical="center" wrapText="1"/>
    </xf>
    <xf numFmtId="49" fontId="0" fillId="39" borderId="14" xfId="0" applyFont="1" applyFill="1" applyBorder="1" applyNumberFormat="1">
      <alignment horizontal="left" vertical="center" wrapText="1"/>
      <protection locked="0"/>
    </xf>
    <xf numFmtId="0" fontId="0" fillId="37" borderId="19" xfId="0" applyFont="1" applyFill="1" applyBorder="1" applyNumberFormat="1">
      <alignment horizontal="left" vertical="center" wrapText="1"/>
    </xf>
    <xf numFmtId="0" fontId="23" fillId="37" borderId="19" xfId="0" applyFont="1" applyFill="1" applyBorder="1" applyNumberFormat="1">
      <alignment horizontal="left" vertical="top" wrapText="1"/>
    </xf>
    <xf numFmtId="49" fontId="0" fillId="0" borderId="14" xfId="0" applyFont="1" applyBorder="1" applyNumberFormat="1">
      <alignment horizontal="left" vertical="center" wrapText="1" indent="1"/>
    </xf>
    <xf numFmtId="0" fontId="23" fillId="37" borderId="38" xfId="0" applyFont="1" applyFill="1" applyBorder="1" applyNumberFormat="1">
      <alignment horizontal="left" vertical="top" wrapText="1"/>
    </xf>
    <xf numFmtId="0" fontId="45" fillId="37" borderId="0" xfId="0" applyFont="1" applyFill="1" applyNumberFormat="1">
      <alignment horizontal="center" vertical="center"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37" borderId="25" xfId="0" applyFont="1" applyFill="1" applyBorder="1" applyNumberFormat="1">
      <alignment horizontal="left" vertical="top" wrapText="1"/>
    </xf>
    <xf numFmtId="0" fontId="58" fillId="37" borderId="0" xfId="0" applyFont="1" applyFill="1" applyNumberFormat="1"/>
    <xf numFmtId="49" fontId="23" fillId="42" borderId="14" xfId="0" applyFont="1" applyFill="1" applyBorder="1" applyNumberFormat="1" quotePrefix="1">
      <alignment horizontal="left" vertical="center" wrapText="1"/>
      <protection locked="0"/>
    </xf>
    <xf numFmtId="49" fontId="23" fillId="39"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0" fillId="37" borderId="16" xfId="0" applyFont="1" applyFill="1" applyBorder="1" applyNumberFormat="1">
      <alignment horizontal="left" vertical="center" wrapText="1" indent="1"/>
    </xf>
    <xf numFmtId="49" fontId="23" fillId="43" borderId="16" xfId="0" applyFont="1" applyFill="1" applyBorder="1" applyNumberFormat="1">
      <alignment horizontal="left" vertical="center" wrapText="1"/>
    </xf>
    <xf numFmtId="0" fontId="0" fillId="37" borderId="14" xfId="0" applyFont="1" applyFill="1" applyBorder="1" applyNumberFormat="1">
      <alignment vertical="top" wrapText="1"/>
    </xf>
    <xf numFmtId="49" fontId="23" fillId="37" borderId="0" xfId="0" applyFont="1" applyFill="1" applyNumberFormat="1">
      <alignment horizontal="center" vertical="center" wrapText="1"/>
    </xf>
    <xf numFmtId="0" fontId="0" fillId="37" borderId="16" xfId="0" applyFont="1" applyFill="1" applyBorder="1" applyNumberFormat="1">
      <alignment horizontal="left" vertical="center" wrapText="1"/>
    </xf>
    <xf numFmtId="0" fontId="0" fillId="37" borderId="25" xfId="0" applyFont="1" applyFill="1" applyBorder="1" applyNumberFormat="1">
      <alignment vertical="center" wrapText="1"/>
    </xf>
    <xf numFmtId="0" fontId="81" fillId="37" borderId="0" xfId="0" applyFont="1" applyFill="1" applyNumberFormat="1"/>
    <xf numFmtId="0" fontId="23" fillId="0" borderId="0" xfId="0" applyFont="1" applyNumberFormat="1">
      <alignment vertical="top" wrapText="1"/>
    </xf>
    <xf numFmtId="0" fontId="55" fillId="0" borderId="0" xfId="0" applyFont="1" applyNumberFormat="1">
      <alignment vertical="center" wrapText="1"/>
    </xf>
    <xf numFmtId="0" fontId="53" fillId="0" borderId="0" xfId="0" applyFont="1" applyNumberFormat="1">
      <alignment horizontal="right" vertical="top" wrapText="1"/>
    </xf>
    <xf numFmtId="0" fontId="53" fillId="0" borderId="0" xfId="0" applyFont="1" applyNumberFormat="1">
      <alignment horizontal="left" vertical="top" wrapText="1" indent="1"/>
    </xf>
    <xf numFmtId="0" fontId="53" fillId="0" borderId="0" xfId="0" applyFont="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2" fillId="37" borderId="0" xfId="0" applyFont="1" applyFill="1" applyNumberFormat="1">
      <alignment horizontal="right" vertical="center"/>
    </xf>
    <xf numFmtId="0" fontId="83" fillId="37" borderId="0" xfId="0" applyFont="1" applyFill="1" applyNumberFormat="1">
      <alignment vertical="center"/>
    </xf>
    <xf numFmtId="0" fontId="82" fillId="37" borderId="0" xfId="0" applyFont="1" applyFill="1" applyNumberFormat="1">
      <alignment horizontal="right" vertical="top"/>
    </xf>
    <xf numFmtId="0" fontId="83"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45" fillId="37" borderId="0" xfId="0" applyFont="1" applyFill="1" applyNumberFormat="1">
      <alignment horizontal="center" vertical="center" wrapText="1"/>
    </xf>
    <xf numFmtId="0" fontId="22" fillId="0" borderId="0" xfId="0" applyFont="1" applyNumberFormat="1">
      <alignment horizontal="left" vertical="center" wrapText="1" indent="3"/>
    </xf>
    <xf numFmtId="0" fontId="69" fillId="0" borderId="0" xfId="0" applyFont="1" applyNumberFormat="1">
      <alignment horizontal="center" vertical="center" wrapText="1"/>
    </xf>
    <xf numFmtId="0" fontId="69" fillId="0" borderId="0" xfId="0" applyFont="1" applyNumberFormat="1">
      <alignment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65" fillId="0" borderId="0" xfId="0" applyFont="1" applyNumberFormat="1">
      <alignment vertical="center" wrapText="1"/>
    </xf>
    <xf numFmtId="0" fontId="63" fillId="0" borderId="0" xfId="0" applyFont="1" applyNumberFormat="1">
      <alignment vertical="center" wrapText="1"/>
    </xf>
    <xf numFmtId="0" fontId="84" fillId="37" borderId="0" xfId="0" applyFont="1" applyFill="1" applyNumberFormat="1">
      <alignment horizontal="center" vertical="center" wrapText="1"/>
    </xf>
    <xf numFmtId="0" fontId="65" fillId="0" borderId="0" xfId="0" applyFont="1" applyNumberFormat="1">
      <alignment horizontal="left" vertical="center" wrapText="1" indent="1"/>
    </xf>
    <xf numFmtId="0" fontId="23" fillId="0" borderId="0" xfId="0" applyFont="1" applyNumberFormat="1">
      <alignment horizontal="right" vertical="center"/>
    </xf>
    <xf numFmtId="0" fontId="55" fillId="0" borderId="0" xfId="0" applyFont="1" applyNumberFormat="1">
      <alignment vertical="center" wrapText="1"/>
    </xf>
    <xf numFmtId="0" fontId="0"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44" fillId="37" borderId="0" xfId="0" applyFont="1" applyFill="1" applyNumberFormat="1">
      <alignment horizontal="center" vertical="center" wrapText="1"/>
    </xf>
    <xf numFmtId="49" fontId="44" fillId="37" borderId="0" xfId="0" applyFont="1" applyFill="1" applyNumberFormat="1">
      <alignment horizontal="center" vertical="center" wrapText="1"/>
    </xf>
    <xf numFmtId="0" fontId="23" fillId="0" borderId="0" xfId="0" applyFont="1" applyNumberFormat="1">
      <alignment vertical="center" wrapText="1"/>
    </xf>
    <xf numFmtId="0" fontId="77" fillId="0" borderId="0" xfId="0" applyFont="1" applyNumberFormat="1">
      <alignmen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49" fontId="77" fillId="0" borderId="14" xfId="0" applyFont="1" applyBorder="1" applyNumberFormat="1">
      <alignment horizontal="left" vertical="center" wrapText="1"/>
    </xf>
    <xf numFmtId="49" fontId="0" fillId="0" borderId="14" xfId="0" applyFont="1" applyBorder="1" applyNumberFormat="1">
      <alignment vertical="top" wrapText="1"/>
    </xf>
    <xf numFmtId="49" fontId="0" fillId="0" borderId="14" xfId="0" applyFont="1" applyBorder="1" applyNumberFormat="1">
      <alignment horizontal="center" vertical="center" wrapText="1"/>
    </xf>
    <xf numFmtId="49" fontId="0" fillId="39"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 fontId="0" fillId="42"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 fontId="0" fillId="42" borderId="15" xfId="0" applyFont="1" applyFill="1" applyBorder="1" applyNumberFormat="1">
      <alignment horizontal="right" vertical="center" wrapText="1"/>
      <protection locked="0"/>
    </xf>
    <xf numFmtId="0" fontId="0" fillId="39" borderId="14" xfId="0" applyFont="1" applyFill="1" applyBorder="1" applyNumberFormat="1">
      <alignment horizontal="right" vertical="center" wrapText="1"/>
      <protection locked="0"/>
    </xf>
    <xf numFmtId="3" fontId="0" fillId="0" borderId="15" xfId="0" applyFont="1" applyBorder="1" applyNumberFormat="1">
      <alignment horizontal="right" vertical="center" wrapText="1"/>
    </xf>
    <xf numFmtId="0" fontId="0" fillId="0" borderId="19" xfId="0" applyFont="1" applyBorder="1" applyNumberFormat="1">
      <alignment horizontal="left" vertical="top" wrapText="1"/>
    </xf>
    <xf numFmtId="49" fontId="36" fillId="40" borderId="16" xfId="0" applyFont="1" applyFill="1" applyBorder="1" applyNumberFormat="1">
      <alignment horizontal="center" vertical="center"/>
    </xf>
    <xf numFmtId="0" fontId="48" fillId="40" borderId="17" xfId="0" applyFont="1" applyFill="1" applyBorder="1" applyNumberFormat="1">
      <alignment vertical="center"/>
    </xf>
    <xf numFmtId="49" fontId="48" fillId="40" borderId="17" xfId="0" applyFont="1" applyFill="1" applyBorder="1" applyNumberFormat="1">
      <alignment vertical="center"/>
    </xf>
    <xf numFmtId="49" fontId="78" fillId="40" borderId="17" xfId="0" applyFont="1" applyFill="1" applyBorder="1" applyNumberFormat="1">
      <alignment vertical="center"/>
    </xf>
    <xf numFmtId="49" fontId="78" fillId="40" borderId="15" xfId="0" applyFont="1" applyFill="1" applyBorder="1" applyNumberFormat="1">
      <alignment vertical="center"/>
    </xf>
    <xf numFmtId="0" fontId="0" fillId="0" borderId="25" xfId="0" applyFont="1" applyBorder="1" applyNumberFormat="1">
      <alignment horizontal="left" vertical="top" wrapText="1"/>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0" fillId="0" borderId="0" xfId="0" applyFont="1" applyNumberFormat="1">
      <alignment vertical="center" wrapText="1"/>
    </xf>
    <xf numFmtId="0" fontId="55" fillId="0" borderId="0" xfId="0" applyFont="1" applyNumberFormat="1">
      <alignment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0" fillId="0" borderId="39" xfId="0" applyFont="1" applyBorder="1" applyNumberFormat="1">
      <alignment horizontal="center" vertical="center" wrapText="1"/>
    </xf>
    <xf numFmtId="0" fontId="23" fillId="43" borderId="21" xfId="0" applyFont="1" applyFill="1" applyBorder="1" applyNumberFormat="1">
      <alignment horizontal="lef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49" fontId="0" fillId="0" borderId="32" xfId="0" applyFont="1" applyBorder="1" applyNumberFormat="1">
      <alignment horizontal="center" vertical="center" wrapText="1"/>
    </xf>
    <xf numFmtId="0" fontId="23" fillId="43" borderId="29" xfId="0" applyFont="1" applyFill="1" applyBorder="1" applyNumberFormat="1">
      <alignment horizontal="left" vertical="center" wrapText="1"/>
    </xf>
    <xf numFmtId="0" fontId="93" fillId="0" borderId="0" xfId="0" applyFont="1" applyNumberFormat="1">
      <alignment vertical="center" wrapText="1"/>
    </xf>
    <xf numFmtId="0" fontId="55" fillId="0" borderId="0" xfId="0" applyFont="1" applyNumberFormat="1">
      <alignment vertical="center" wrapText="1"/>
    </xf>
    <xf numFmtId="0" fontId="45" fillId="37" borderId="0" xfId="0" applyFont="1" applyFill="1" applyNumberFormat="1">
      <alignment horizontal="center" vertical="center" wrapText="1"/>
    </xf>
    <xf numFmtId="0" fontId="23" fillId="0" borderId="21" xfId="0" applyFont="1" applyBorder="1" applyNumberFormat="1">
      <alignment horizontal="left" vertical="top" wrapText="1" indent="1"/>
    </xf>
    <xf numFmtId="0" fontId="69"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vertical="center" wrapText="1"/>
    </xf>
    <xf numFmtId="0" fontId="23" fillId="0" borderId="25" xfId="0" applyFont="1" applyBorder="1" applyNumberFormat="1">
      <alignment horizontal="center" vertical="center" wrapText="1"/>
    </xf>
    <xf numFmtId="0" fontId="23" fillId="0" borderId="0" xfId="0" applyFont="1" applyNumberFormat="1">
      <alignmen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2" fillId="0" borderId="0" xfId="0" applyFont="1" applyNumberFormat="1">
      <alignment horizontal="center" vertical="center" wrapText="1"/>
    </xf>
    <xf numFmtId="0" fontId="50" fillId="0" borderId="0" xfId="0" applyFont="1" applyNumberFormat="1">
      <alignment vertical="center" wrapText="1"/>
    </xf>
    <xf numFmtId="4" fontId="65" fillId="0" borderId="0" xfId="0" applyFont="1" applyNumberFormat="1">
      <alignment horizontal="right"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4" fillId="37" borderId="17" xfId="0" applyFont="1" applyFill="1" applyBorder="1" applyNumberFormat="1">
      <alignment horizontal="center" vertical="center" wrapText="1"/>
    </xf>
    <xf numFmtId="49" fontId="44" fillId="37" borderId="17" xfId="0" applyFont="1" applyFill="1" applyBorder="1" applyNumberFormat="1">
      <alignment horizontal="center"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top"/>
    </xf>
    <xf numFmtId="0" fontId="45" fillId="37" borderId="26" xfId="0" applyFont="1" applyFill="1" applyBorder="1" applyNumberFormat="1">
      <alignment vertical="top"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49" fontId="34" fillId="40" borderId="15" xfId="0" applyFont="1" applyFill="1" applyBorder="1" applyNumberFormat="1">
      <alignment horizontal="left" vertical="center" wrapText="1"/>
    </xf>
    <xf numFmtId="0" fontId="0" fillId="0" borderId="38" xfId="0" applyFont="1" applyBorder="1" applyNumberFormat="1">
      <alignment horizontal="left" vertical="top"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45" fillId="37" borderId="0" xfId="0" applyFont="1" applyFill="1" applyNumberFormat="1">
      <alignment vertical="top" wrapText="1"/>
    </xf>
    <xf numFmtId="0" fontId="55" fillId="37" borderId="25" xfId="0" applyFont="1" applyFill="1" applyBorder="1" applyNumberFormat="1">
      <alignment horizontal="center" vertical="center" wrapText="1"/>
    </xf>
    <xf numFmtId="14" fontId="23" fillId="43" borderId="25" xfId="0" applyFont="1" applyFill="1" applyBorder="1" applyNumberFormat="1">
      <alignment horizontal="left" vertical="center" wrapText="1"/>
    </xf>
    <xf numFmtId="14" fontId="23" fillId="43" borderId="14" xfId="0" applyFont="1" applyFill="1" applyBorder="1" applyNumberFormat="1">
      <alignment horizontal="center" vertical="center" wrapText="1"/>
    </xf>
    <xf numFmtId="49" fontId="34" fillId="42" borderId="14" xfId="0" applyFont="1" applyFill="1" applyBorder="1" applyNumberFormat="1">
      <alignment horizontal="left" vertical="center" wrapText="1"/>
      <protection locked="0"/>
    </xf>
    <xf numFmtId="49" fontId="36" fillId="40" borderId="17" xfId="0" applyFont="1" applyFill="1" applyBorder="1" applyNumberFormat="1">
      <alignment horizontal="center" vertical="center"/>
    </xf>
    <xf numFmtId="49" fontId="78" fillId="40" borderId="17" xfId="0" applyFont="1" applyFill="1" applyBorder="1" applyNumberFormat="1">
      <alignment horizontal="left" vertical="center" indent="1"/>
    </xf>
    <xf numFmtId="49" fontId="78" fillId="40" borderId="15" xfId="0" applyFont="1" applyFill="1" applyBorder="1" applyNumberFormat="1">
      <alignment horizontal="left" vertical="center" indent="1"/>
    </xf>
    <xf numFmtId="0" fontId="65" fillId="0" borderId="0" xfId="0" applyFont="1" applyNumberFormat="1">
      <alignment vertical="center" wrapText="1"/>
    </xf>
    <xf numFmtId="0" fontId="84" fillId="0" borderId="0" xfId="0" applyFont="1" applyNumberFormat="1">
      <alignment horizontal="center" vertical="center" wrapText="1"/>
    </xf>
    <xf numFmtId="0" fontId="53" fillId="0" borderId="0" xfId="0" applyFont="1" applyNumberFormat="1">
      <alignment vertical="top" wrapText="1"/>
    </xf>
    <xf numFmtId="0" fontId="23" fillId="0" borderId="0" xfId="0" applyFont="1" applyNumberFormat="1">
      <alignment horizontal="right" vertical="top" wrapText="1"/>
    </xf>
    <xf numFmtId="0" fontId="53"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horizontal="left" vertical="center" indent="1"/>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6" xfId="0" applyFont="1" applyBorder="1" applyNumberFormat="1">
      <alignment vertical="top"/>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4" xfId="0" applyFont="1" applyBorder="1" applyNumberFormat="1">
      <alignment horizontal="left" vertical="center" wrapText="1" indent="6"/>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53" fillId="0" borderId="14" xfId="0" applyFont="1" applyBorder="1" applyNumberFormat="1">
      <alignment vertical="top" wrapText="1"/>
    </xf>
    <xf numFmtId="0" fontId="54" fillId="0" borderId="16" xfId="0" applyFont="1" applyBorder="1" applyNumberFormat="1">
      <alignment horizontal="center" vertical="center"/>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indent="1"/>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54" fillId="0" borderId="14" xfId="0" applyFont="1" applyBorder="1" applyNumberFormat="1">
      <alignment horizontal="center" vertical="center" wrapText="1"/>
    </xf>
    <xf numFmtId="0" fontId="54"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54" fillId="0" borderId="16" xfId="0" applyFont="1" applyBorder="1" applyNumberFormat="1">
      <alignment horizontal="center" vertical="center" wrapText="1"/>
    </xf>
    <xf numFmtId="0" fontId="54" fillId="0" borderId="0" xfId="0" applyFont="1" applyNumberFormat="1">
      <alignment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23" fillId="43" borderId="14" xfId="0" applyFont="1" applyFill="1" applyBorder="1" applyNumberFormat="1">
      <alignment horizontal="left" vertical="center" wrapText="1" indent="6"/>
    </xf>
    <xf numFmtId="4" fontId="23" fillId="39" borderId="14" xfId="0" applyFont="1" applyFill="1" applyBorder="1" applyNumberFormat="1">
      <alignment horizontal="right" vertical="center" wrapText="1"/>
      <protection locked="0"/>
    </xf>
    <xf numFmtId="4" fontId="23" fillId="0" borderId="14" xfId="0" applyFont="1" applyBorder="1" applyNumberFormat="1">
      <alignment horizontal="right" vertical="center" wrapText="1"/>
    </xf>
    <xf numFmtId="16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0" fontId="53" fillId="0" borderId="19" xfId="0" applyFont="1" applyBorder="1" applyNumberFormat="1">
      <alignment horizontal="left" vertical="top" wrapText="1"/>
    </xf>
    <xf numFmtId="49" fontId="23" fillId="0" borderId="14" xfId="0" applyFont="1" applyBorder="1" applyNumberFormat="1">
      <alignment horizontal="left" vertical="center" wrapText="1"/>
    </xf>
    <xf numFmtId="4" fontId="55" fillId="0" borderId="14" xfId="0" applyFont="1" applyBorder="1" applyNumberFormat="1">
      <alignment horizontal="center" vertical="center" wrapText="1"/>
    </xf>
    <xf numFmtId="49" fontId="0" fillId="42" borderId="14" xfId="0" applyFont="1" applyFill="1" applyBorder="1" applyNumberFormat="1">
      <alignment horizontal="center" vertical="center" wrapText="1"/>
      <protection locked="0"/>
    </xf>
    <xf numFmtId="0" fontId="53" fillId="0" borderId="38" xfId="0" applyFont="1" applyBorder="1" applyNumberFormat="1">
      <alignment horizontal="left" vertical="top"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6"/>
    </xf>
    <xf numFmtId="49" fontId="23" fillId="40" borderId="15" xfId="0" applyFont="1" applyFill="1" applyBorder="1" applyNumberFormat="1">
      <alignment horizontal="center" vertical="center" wrapText="1"/>
    </xf>
    <xf numFmtId="0" fontId="53" fillId="0" borderId="25" xfId="0" applyFont="1" applyBorder="1" applyNumberFormat="1">
      <alignment horizontal="left" vertical="top" wrapText="1"/>
    </xf>
    <xf numFmtId="49" fontId="48" fillId="40" borderId="17" xfId="0" applyFont="1" applyFill="1" applyBorder="1" applyNumberFormat="1">
      <alignment horizontal="left" vertical="center" indent="5"/>
    </xf>
    <xf numFmtId="49" fontId="0"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49" fontId="47" fillId="0" borderId="0" xfId="0" applyFont="1" applyNumberFormat="1">
      <alignment vertical="top"/>
    </xf>
    <xf numFmtId="49" fontId="48" fillId="40" borderId="17" xfId="0" applyFont="1" applyFill="1" applyBorder="1" applyNumberFormat="1">
      <alignment horizontal="left" vertical="center" indent="4"/>
    </xf>
    <xf numFmtId="0" fontId="55"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49" fontId="23" fillId="0" borderId="0" xfId="0" applyFont="1" applyNumberFormat="1">
      <alignmen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167" fontId="54" fillId="0" borderId="14" xfId="0" applyFont="1" applyBorder="1" applyNumberFormat="1">
      <alignment horizontal="center" vertical="center" wrapText="1"/>
    </xf>
    <xf numFmtId="49" fontId="54" fillId="0" borderId="14" xfId="0" applyFont="1" applyBorder="1" applyNumberFormat="1">
      <alignment horizontal="center"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54" fillId="0" borderId="14" xfId="0" applyFont="1" applyBorder="1" applyNumberFormat="1">
      <alignment vertical="center" wrapText="1"/>
    </xf>
    <xf numFmtId="0" fontId="74" fillId="0" borderId="0" xfId="0" applyFont="1" applyNumberFormat="1">
      <alignment vertical="center" wrapText="1"/>
    </xf>
    <xf numFmtId="0" fontId="54" fillId="0" borderId="0" xfId="0" applyFont="1" applyNumberFormat="1">
      <alignment horizontal="left" vertical="center" wrapText="1"/>
    </xf>
    <xf numFmtId="0" fontId="47"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1" xfId="0" applyFont="1" applyBorder="1" applyNumberFormat="1">
      <alignment horizontal="left" vertical="top" wrapText="1" indent="1"/>
    </xf>
    <xf numFmtId="0" fontId="22" fillId="0" borderId="0" xfId="0" applyFont="1" applyNumberFormat="1">
      <alignment vertical="center" wrapTex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4" fillId="0" borderId="0" xfId="0" applyFont="1" applyNumberFormat="1">
      <alignment vertical="center"/>
    </xf>
    <xf numFmtId="0" fontId="54" fillId="0" borderId="0" xfId="0" applyFont="1" applyNumberFormat="1">
      <alignment horizontal="center" vertical="center"/>
    </xf>
    <xf numFmtId="0" fontId="0" fillId="37" borderId="14" xfId="0" applyFont="1" applyFill="1" applyBorder="1" applyNumberFormat="1">
      <alignment horizontal="right" vertical="center" wrapText="1" indent="1"/>
    </xf>
    <xf numFmtId="0" fontId="0" fillId="0" borderId="17" xfId="0" applyFont="1" applyBorder="1" applyNumberFormat="1">
      <alignment vertical="center"/>
    </xf>
    <xf numFmtId="0" fontId="23" fillId="38" borderId="14" xfId="0" applyFont="1" applyFill="1" applyBorder="1" applyNumberFormat="1">
      <alignment horizontal="left" vertical="center" wrapText="1" indent="1"/>
    </xf>
    <xf numFmtId="0" fontId="23" fillId="0" borderId="0" xfId="0" applyFont="1" applyNumberFormat="1">
      <alignment vertical="center" wrapText="1"/>
    </xf>
    <xf numFmtId="0" fontId="73" fillId="0" borderId="0" xfId="0" applyFont="1" applyNumberFormat="1">
      <alignment vertical="center"/>
    </xf>
    <xf numFmtId="0" fontId="55" fillId="0" borderId="0" xfId="0" applyFont="1" applyNumberFormat="1">
      <alignment vertical="center"/>
    </xf>
    <xf numFmtId="167" fontId="23" fillId="38" borderId="14"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wrapText="1"/>
    </xf>
    <xf numFmtId="0" fontId="23" fillId="37" borderId="29" xfId="0" applyFont="1" applyFill="1" applyBorder="1" applyNumberFormat="1">
      <alignment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19" xfId="0" applyFont="1" applyBorder="1" applyNumberFormat="1">
      <alignmen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0" fontId="23" fillId="0" borderId="38" xfId="0" applyFont="1" applyBorder="1" applyNumberFormat="1">
      <alignment vertical="center" wrapText="1"/>
    </xf>
    <xf numFmtId="0" fontId="23" fillId="0" borderId="19" xfId="0" applyFont="1" applyBorder="1" applyNumberFormat="1">
      <alignment horizontal="center" vertical="center" wrapText="1"/>
    </xf>
    <xf numFmtId="0" fontId="54"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7" xfId="0" applyFont="1" applyBorder="1" applyNumberFormat="1">
      <alignment horizontal="center" vertical="center" wrapText="1"/>
    </xf>
    <xf numFmtId="0" fontId="23" fillId="37" borderId="38" xfId="0" applyFont="1" applyFill="1" applyBorder="1" applyNumberFormat="1">
      <alignment horizontal="center" vertical="center" wrapText="1"/>
    </xf>
    <xf numFmtId="49" fontId="48" fillId="40" borderId="38" xfId="0" applyFont="1" applyFill="1" applyBorder="1" applyNumberFormat="1">
      <alignment horizontal="center" vertical="center" textRotation="90" wrapText="1"/>
    </xf>
    <xf numFmtId="0" fontId="54" fillId="0" borderId="0" xfId="0" applyFont="1" applyNumberFormat="1">
      <alignment vertical="center"/>
    </xf>
    <xf numFmtId="0" fontId="23" fillId="0" borderId="25" xfId="0" applyFont="1" applyBorder="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8" fillId="40" borderId="25" xfId="0" applyFont="1" applyFill="1" applyBorder="1" applyNumberFormat="1">
      <alignment horizontal="center" vertical="center" textRotation="90" wrapText="1"/>
    </xf>
    <xf numFmtId="49" fontId="77" fillId="0" borderId="0" xfId="0" applyFont="1" applyNumberFormat="1">
      <alignment vertical="center" wrapText="1"/>
    </xf>
    <xf numFmtId="0" fontId="111" fillId="37" borderId="0" xfId="0" applyFont="1" applyFill="1" applyNumberFormat="1">
      <alignment vertical="center" wrapText="1"/>
    </xf>
    <xf numFmtId="0" fontId="112" fillId="37" borderId="0" xfId="0" applyFont="1" applyFill="1" applyNumberFormat="1">
      <alignment vertical="center" wrapText="1"/>
    </xf>
    <xf numFmtId="49" fontId="85" fillId="37" borderId="21" xfId="0" applyFont="1" applyFill="1" applyBorder="1" applyNumberFormat="1">
      <alignment horizontal="left" vertical="center" wrapText="1"/>
    </xf>
    <xf numFmtId="49" fontId="85" fillId="37" borderId="21" xfId="0" applyFont="1" applyFill="1" applyBorder="1" applyNumberFormat="1">
      <alignment horizontal="center" vertical="center" wrapText="1"/>
    </xf>
    <xf numFmtId="0" fontId="5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167" fontId="0" fillId="42" borderId="19" xfId="0" applyFont="1" applyFill="1" applyBorder="1" applyNumberFormat="1">
      <alignment horizontal="center" vertical="center" wrapText="1"/>
      <protection locked="0"/>
    </xf>
    <xf numFmtId="4" fontId="23" fillId="0" borderId="19" xfId="0" applyFont="1" applyBorder="1" applyNumberFormat="1">
      <alignment horizontal="right" vertical="center" wrapText="1"/>
    </xf>
    <xf numFmtId="49" fontId="23" fillId="0" borderId="14" xfId="0" applyFont="1" applyBorder="1" applyNumberFormat="1">
      <alignment horizontal="left" vertical="center" wrapText="1"/>
    </xf>
    <xf numFmtId="49" fontId="0" fillId="42" borderId="25" xfId="0" applyFont="1" applyFill="1" applyBorder="1" applyNumberFormat="1">
      <alignment horizontal="center" vertical="center" wrapText="1"/>
      <protection locked="0"/>
    </xf>
    <xf numFmtId="4" fontId="23" fillId="0" borderId="25" xfId="0" applyFont="1" applyBorder="1" applyNumberFormat="1">
      <alignment horizontal="right" vertical="center" wrapText="1"/>
    </xf>
    <xf numFmtId="0" fontId="55" fillId="0" borderId="0" xfId="0" applyFont="1" applyNumberFormat="1">
      <alignment horizontal="left" vertical="center" indent="1"/>
    </xf>
    <xf numFmtId="0" fontId="55" fillId="0" borderId="0" xfId="0" applyFont="1" applyNumberFormat="1">
      <alignment vertical="center" wrapText="1"/>
    </xf>
    <xf numFmtId="0" fontId="55" fillId="0" borderId="0" xfId="0" applyFont="1" applyNumberFormat="1">
      <alignment horizontal="center" vertical="center"/>
    </xf>
    <xf numFmtId="0" fontId="55" fillId="0" borderId="0" xfId="0" applyFont="1" applyNumberFormat="1">
      <alignment vertical="center" wrapText="1"/>
    </xf>
    <xf numFmtId="49" fontId="55" fillId="0" borderId="0" xfId="0" applyFont="1" applyNumberFormat="1">
      <alignment vertical="top"/>
    </xf>
    <xf numFmtId="49" fontId="112"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23" fillId="0" borderId="0" xfId="0" applyFont="1" applyNumberFormat="1">
      <alignment vertical="center" wrapText="1"/>
    </xf>
    <xf numFmtId="0" fontId="47"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0" fontId="23" fillId="0" borderId="14" xfId="0" applyFont="1" applyBorder="1" applyNumberFormat="1">
      <alignment horizontal="center" vertical="center"/>
    </xf>
    <xf numFmtId="0" fontId="23" fillId="0" borderId="0" xfId="0" applyFont="1" applyNumberFormat="1">
      <alignment horizontal="center" vertical="center"/>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0" fontId="23" fillId="37" borderId="14" xfId="0" applyFont="1" applyFill="1" applyBorder="1" applyNumberFormat="1">
      <alignment horizontal="left" vertical="center" wrapText="1" indent="1"/>
    </xf>
    <xf numFmtId="0" fontId="23" fillId="0" borderId="0" xfId="0" applyFont="1" applyNumberFormat="1">
      <alignment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77" fillId="0" borderId="0" xfId="0" applyFont="1" applyNumberFormat="1">
      <alignment horizontal="left" vertical="center" wrapText="1"/>
    </xf>
    <xf numFmtId="0" fontId="77" fillId="0" borderId="0" xfId="0" applyFont="1" applyNumberFormat="1">
      <alignment vertical="center" wrapText="1"/>
    </xf>
    <xf numFmtId="0" fontId="55" fillId="0" borderId="0" xfId="0" applyFont="1" applyNumberFormat="1">
      <alignment vertical="center"/>
    </xf>
    <xf numFmtId="49" fontId="77" fillId="0" borderId="0" xfId="0" applyFont="1" applyNumberFormat="1">
      <alignment horizontal="left" vertical="center"/>
    </xf>
    <xf numFmtId="0" fontId="54"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4"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5" fillId="0" borderId="0" xfId="0" applyFont="1" applyNumberFormat="1">
      <alignment vertical="center" wrapText="1"/>
    </xf>
    <xf numFmtId="0" fontId="23" fillId="0" borderId="19" xfId="0" applyFont="1" applyBorder="1" applyNumberFormat="1">
      <alignment vertical="center" wrapText="1"/>
    </xf>
    <xf numFmtId="0" fontId="0" fillId="0" borderId="14" xfId="0" applyFont="1" applyBorder="1" applyNumberFormat="1">
      <alignment horizontal="center" vertical="center" wrapText="1"/>
    </xf>
    <xf numFmtId="0" fontId="77" fillId="0" borderId="0" xfId="0" applyFont="1" applyNumberFormat="1">
      <alignment vertical="center" wrapText="1"/>
    </xf>
    <xf numFmtId="0" fontId="85" fillId="37" borderId="21" xfId="0" applyFont="1" applyFill="1" applyBorder="1" applyNumberFormat="1">
      <alignment horizontal="center" vertical="center" wrapText="1"/>
    </xf>
    <xf numFmtId="0" fontId="77" fillId="0" borderId="0" xfId="0" applyFont="1" applyNumberFormat="1">
      <alignment horizontal="left" vertical="center" indent="1"/>
    </xf>
    <xf numFmtId="0" fontId="55" fillId="0" borderId="0" xfId="0" applyFont="1" applyNumberFormat="1">
      <alignment vertical="center" wrapText="1"/>
    </xf>
    <xf numFmtId="0" fontId="77"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4" fontId="23" fillId="0" borderId="14" xfId="0" applyFont="1" applyBorder="1" applyNumberFormat="1">
      <alignment horizontal="right" vertical="center" wrapText="1"/>
    </xf>
    <xf numFmtId="0" fontId="0" fillId="37" borderId="21" xfId="0" applyFont="1" applyFill="1" applyBorder="1" applyNumberFormat="1">
      <alignment horizontal="center" vertical="center" wrapText="1"/>
    </xf>
    <xf numFmtId="0" fontId="55"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55" fillId="0" borderId="14" xfId="0" applyFont="1" applyBorder="1" applyNumberFormat="1">
      <alignment vertical="center" wrapText="1"/>
    </xf>
    <xf numFmtId="0" fontId="23" fillId="0" borderId="0" xfId="0" applyFont="1" applyNumberFormat="1">
      <alignment vertical="center"/>
    </xf>
    <xf numFmtId="0" fontId="55" fillId="0" borderId="25" xfId="0" applyFont="1" applyBorder="1" applyNumberFormat="1">
      <alignment horizontal="center" vertical="center" wrapText="1"/>
    </xf>
    <xf numFmtId="0" fontId="23" fillId="0" borderId="32" xfId="0" applyFont="1" applyBorder="1" applyNumberFormat="1">
      <alignment horizontal="center" vertical="center" wrapText="1"/>
    </xf>
    <xf numFmtId="0" fontId="55"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0" xfId="0" applyFont="1" applyFill="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9" fontId="55" fillId="0" borderId="0" xfId="0" applyFont="1" applyNumberFormat="1">
      <alignment vertical="center" wrapText="1"/>
    </xf>
    <xf numFmtId="0" fontId="0" fillId="0" borderId="0" xfId="0" applyFont="1" applyNumberFormat="1">
      <alignment horizontal="left" vertical="top" wrapText="1"/>
    </xf>
    <xf numFmtId="0" fontId="54" fillId="0" borderId="0" xfId="0" applyFont="1" applyNumberFormat="1">
      <alignment vertical="top" wrapText="1"/>
    </xf>
    <xf numFmtId="0" fontId="23" fillId="0" borderId="21" xfId="0" applyFont="1" applyBorder="1" applyNumberFormat="1">
      <alignment horizontal="left" vertical="center" wrapText="1" indent="1"/>
    </xf>
    <xf numFmtId="0" fontId="23" fillId="0" borderId="0" xfId="0" applyFont="1" applyNumberFormat="1">
      <alignment horizontal="left" vertical="center" wrapText="1"/>
    </xf>
    <xf numFmtId="0" fontId="23" fillId="43" borderId="22" xfId="0" applyFont="1" applyFill="1" applyBorder="1" applyNumberFormat="1">
      <alignment horizontal="left" vertical="center" wrapText="1"/>
    </xf>
    <xf numFmtId="0" fontId="23" fillId="0" borderId="0" xfId="0" applyFont="1" applyNumberFormat="1">
      <alignment horizontal="center" vertical="center" wrapText="1"/>
    </xf>
    <xf numFmtId="164" fontId="23" fillId="39" borderId="16" xfId="0" applyFont="1" applyFill="1" applyBorder="1" applyNumberFormat="1">
      <alignment horizontal="right" vertical="center" wrapText="1"/>
      <protection locked="0"/>
    </xf>
    <xf numFmtId="4" fontId="23" fillId="39" borderId="15" xfId="0" applyFont="1" applyFill="1" applyBorder="1" applyNumberFormat="1">
      <alignment horizontal="right" vertical="center" wrapText="1"/>
      <protection locked="0"/>
    </xf>
    <xf numFmtId="0" fontId="53" fillId="0" borderId="19" xfId="0" applyFont="1" applyBorder="1" applyNumberFormat="1">
      <alignment vertical="top" wrapText="1"/>
    </xf>
    <xf numFmtId="0" fontId="23" fillId="39" borderId="14" xfId="0" applyFont="1" applyFill="1" applyBorder="1" applyNumberFormat="1">
      <alignment horizontal="left" vertical="center" wrapText="1" indent="7"/>
      <protection locked="0"/>
    </xf>
    <xf numFmtId="49" fontId="0" fillId="42" borderId="14" xfId="0" applyFont="1" applyFill="1" applyBorder="1" applyNumberFormat="1">
      <alignment horizontal="center" vertical="center" wrapText="1"/>
      <protection locked="0"/>
    </xf>
    <xf numFmtId="4" fontId="55" fillId="0" borderId="16" xfId="0" applyFont="1" applyBorder="1" applyNumberFormat="1">
      <alignment horizontal="center" vertical="center" wrapText="1"/>
    </xf>
    <xf numFmtId="4" fontId="23" fillId="0" borderId="15" xfId="0" applyFont="1" applyBorder="1" applyNumberFormat="1">
      <alignment horizontal="right" vertical="center" wrapText="1"/>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14" xfId="0" applyFont="1" applyBorder="1" applyNumberFormat="1">
      <alignment horizontal="left" vertical="center" wrapText="1" indent="5"/>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45"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23" fillId="0" borderId="14" xfId="0" applyFont="1" applyBorder="1" applyNumberFormat="1">
      <alignment horizontal="left" vertical="center" wrapText="1" indent="4"/>
    </xf>
    <xf numFmtId="49" fontId="23" fillId="37" borderId="14" xfId="0" applyFont="1" applyFill="1" applyBorder="1" applyNumberFormat="1">
      <alignment horizontal="center" vertical="center" wrapText="1"/>
    </xf>
    <xf numFmtId="0" fontId="23" fillId="43" borderId="14" xfId="0" applyFont="1" applyFill="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0" fontId="23" fillId="37" borderId="38" xfId="0" applyFont="1" applyFill="1" applyBorder="1" applyNumberFormat="1">
      <alignment horizontal="left" vertical="center" wrapText="1"/>
    </xf>
    <xf numFmtId="49" fontId="23" fillId="42" borderId="38" xfId="0" applyFont="1" applyFill="1" applyBorder="1" applyNumberFormat="1">
      <alignment horizontal="left" vertical="center" wrapText="1" indent="6"/>
      <protection locked="0"/>
    </xf>
    <xf numFmtId="164" fontId="23" fillId="40" borderId="15" xfId="0" applyFont="1" applyFill="1" applyBorder="1" applyNumberFormat="1">
      <alignment horizontal="right" vertical="center" wrapText="1"/>
    </xf>
    <xf numFmtId="49" fontId="48" fillId="40" borderId="16" xfId="0" applyFont="1" applyFill="1" applyBorder="1" applyNumberFormat="1">
      <alignment horizontal="left" vertical="center"/>
    </xf>
    <xf numFmtId="164" fontId="23" fillId="40" borderId="17" xfId="0" applyFont="1" applyFill="1" applyBorder="1" applyNumberFormat="1">
      <alignment horizontal="right" vertical="center" wrapText="1"/>
    </xf>
    <xf numFmtId="4" fontId="23" fillId="0" borderId="38" xfId="0" applyFont="1" applyBorder="1" applyNumberFormat="1">
      <alignment horizontal="right" vertical="center" wrapText="1"/>
    </xf>
    <xf numFmtId="49" fontId="48" fillId="40" borderId="16" xfId="0" applyFont="1" applyFill="1" applyBorder="1" applyNumberFormat="1">
      <alignment horizontal="left" vertical="center" indent="1"/>
    </xf>
    <xf numFmtId="0" fontId="23" fillId="37" borderId="25" xfId="0" applyFont="1" applyFill="1" applyBorder="1" applyNumberFormat="1">
      <alignment horizontal="left" vertical="center" wrapText="1"/>
    </xf>
    <xf numFmtId="49" fontId="23" fillId="42" borderId="25" xfId="0" applyFont="1" applyFill="1" applyBorder="1" applyNumberFormat="1">
      <alignment horizontal="left" vertical="center" wrapText="1" indent="6"/>
      <protection locked="0"/>
    </xf>
    <xf numFmtId="4" fontId="55" fillId="40" borderId="15" xfId="0" applyFont="1" applyFill="1" applyBorder="1" applyNumberFormat="1">
      <alignment horizontal="center"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55" fillId="0" borderId="26" xfId="0" applyFont="1" applyBorder="1" applyNumberFormat="1">
      <alignment vertical="top"/>
    </xf>
    <xf numFmtId="0" fontId="116" fillId="0" borderId="0" xfId="0" applyFont="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26"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7"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4" fillId="0" borderId="0" xfId="0" applyFont="1" applyNumberFormat="1">
      <alignment horizontal="left" vertical="center"/>
    </xf>
    <xf numFmtId="0" fontId="55" fillId="0" borderId="0" xfId="0" applyFont="1" applyNumberFormat="1">
      <alignment horizontal="left" vertical="center"/>
    </xf>
    <xf numFmtId="0" fontId="74" fillId="37" borderId="0" xfId="0" applyFont="1" applyFill="1" applyNumberFormat="1">
      <alignment vertical="center" wrapText="1"/>
    </xf>
    <xf numFmtId="0" fontId="23" fillId="37" borderId="3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6"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14" xfId="0" applyFont="1" applyBorder="1" applyNumberFormat="1">
      <alignment horizontal="left" vertical="center" wrapText="1" indent="1"/>
    </xf>
    <xf numFmtId="0" fontId="23" fillId="0" borderId="14" xfId="0" applyFont="1" applyBorder="1" applyNumberFormat="1">
      <alignment horizontal="left" vertical="center" wrapText="1" indent="1"/>
    </xf>
    <xf numFmtId="49" fontId="23" fillId="40" borderId="16" xfId="0" applyFont="1" applyFill="1" applyBorder="1" applyNumberFormat="1">
      <alignment horizontal="center" vertical="center" wrapText="1"/>
    </xf>
    <xf numFmtId="49" fontId="77" fillId="0" borderId="26" xfId="0" applyFont="1" applyBorder="1" applyNumberFormat="1">
      <alignment vertical="top"/>
    </xf>
    <xf numFmtId="0" fontId="23" fillId="0" borderId="0" xfId="0" applyFont="1" applyNumberFormat="1">
      <alignment horizontal="left" vertical="top" wrapText="1"/>
    </xf>
    <xf numFmtId="0" fontId="74"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49" fontId="48" fillId="40" borderId="17" xfId="0" applyFont="1" applyFill="1" applyBorder="1" applyNumberFormat="1">
      <alignment horizontal="left" vertical="center" indent="3"/>
    </xf>
    <xf numFmtId="0" fontId="55" fillId="0" borderId="0" xfId="0" applyFont="1" applyNumberFormat="1">
      <alignment horizontal="center" vertical="center"/>
    </xf>
    <xf numFmtId="0" fontId="54" fillId="0" borderId="0" xfId="0" applyFont="1" applyNumberFormat="1">
      <alignment horizontal="center" vertical="center" wrapText="1"/>
    </xf>
    <xf numFmtId="0" fontId="115" fillId="0" borderId="0" xfId="0" applyFont="1" applyNumberFormat="1">
      <alignment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8" borderId="17" xfId="0" applyFont="1" applyFill="1" applyBorder="1" applyNumberFormat="1">
      <alignment horizontal="left" vertical="center" wrapText="1"/>
    </xf>
    <xf numFmtId="0" fontId="54" fillId="0" borderId="0" xfId="0" applyFont="1" applyNumberFormat="1">
      <alignment horizontal="center" vertical="center" wrapText="1"/>
    </xf>
    <xf numFmtId="0" fontId="55" fillId="0" borderId="17" xfId="0" applyFont="1" applyBorder="1" applyNumberFormat="1">
      <alignment horizontal="left" vertical="center" wrapText="1"/>
    </xf>
    <xf numFmtId="49" fontId="23" fillId="43" borderId="14" xfId="0" applyFont="1" applyFill="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23" fillId="43" borderId="17"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77"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5" fillId="0" borderId="29" xfId="0" applyFont="1" applyBorder="1" applyNumberFormat="1">
      <alignment horizontal="center" vertical="center" wrapText="1"/>
    </xf>
    <xf numFmtId="0" fontId="23" fillId="42" borderId="15"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0" fontId="55" fillId="0" borderId="0" xfId="0" applyFont="1" applyNumberFormat="1">
      <alignment horizontal="center" vertical="center" wrapText="1"/>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23" fillId="39" borderId="38" xfId="0" applyFont="1" applyFill="1" applyBorder="1" applyNumberFormat="1">
      <alignment horizontal="left" vertical="center" wrapText="1" indent="6"/>
      <protection locked="0"/>
    </xf>
    <xf numFmtId="49" fontId="23" fillId="43" borderId="31" xfId="0" applyFont="1" applyFill="1" applyBorder="1" applyNumberFormat="1">
      <alignment horizontal="center" vertical="center" wrapText="1"/>
    </xf>
    <xf numFmtId="49" fontId="48" fillId="40" borderId="29" xfId="0" applyFont="1" applyFill="1" applyBorder="1" applyNumberFormat="1">
      <alignment horizontal="left" vertical="center"/>
    </xf>
    <xf numFmtId="49" fontId="23" fillId="39" borderId="25" xfId="0" applyFont="1" applyFill="1" applyBorder="1" applyNumberFormat="1">
      <alignment horizontal="left" vertical="center" wrapText="1" indent="6"/>
      <protection locked="0"/>
    </xf>
    <xf numFmtId="0" fontId="55" fillId="0" borderId="0" xfId="0" applyFont="1" applyNumberFormat="1">
      <alignment horizontal="center" vertical="center"/>
    </xf>
    <xf numFmtId="0" fontId="55" fillId="0" borderId="0" xfId="0" applyFont="1" applyNumberFormat="1">
      <alignment horizontal="left" vertical="center" wrapText="1" indent="1"/>
    </xf>
    <xf numFmtId="0" fontId="23" fillId="37" borderId="14" xfId="0" applyFont="1" applyFill="1" applyBorder="1" applyNumberFormat="1">
      <alignment horizontal="center" vertical="center" wrapText="1"/>
    </xf>
    <xf numFmtId="0" fontId="55" fillId="0" borderId="21" xfId="0" applyFont="1" applyBorder="1" applyNumberFormat="1">
      <alignment horizontal="lef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49" fontId="23" fillId="43"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55" fillId="0" borderId="14" xfId="0" applyFont="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center" wrapText="1"/>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4" fontId="23" fillId="0" borderId="14" xfId="0" applyFont="1" applyBorder="1" applyNumberFormat="1">
      <alignment horizontal="right" vertical="center" wrapText="1"/>
    </xf>
    <xf numFmtId="49" fontId="0" fillId="42" borderId="14"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55" fillId="0" borderId="0" xfId="0" applyFont="1" applyNumberFormat="1">
      <alignment horizontal="center" vertical="center" wrapText="1"/>
    </xf>
    <xf numFmtId="0" fontId="54" fillId="0" borderId="0" xfId="0" applyFont="1" applyNumberFormat="1">
      <alignment vertical="center" wrapText="1"/>
    </xf>
    <xf numFmtId="49" fontId="54" fillId="0" borderId="14" xfId="0" applyFont="1" applyBorder="1" applyNumberFormat="1">
      <alignment vertical="center" wrapText="1"/>
    </xf>
    <xf numFmtId="0" fontId="54" fillId="0" borderId="0" xfId="0" applyFont="1" applyNumberFormat="1">
      <alignment vertical="center"/>
    </xf>
    <xf numFmtId="0" fontId="23" fillId="0" borderId="21" xfId="0" applyFont="1" applyBorder="1" applyNumberFormat="1">
      <alignment horizontal="left" vertical="top" wrapText="1" inden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23" fillId="38" borderId="14" xfId="0" applyFont="1" applyFill="1" applyBorder="1" applyNumberFormat="1">
      <alignment horizontal="left" vertical="center" wrapText="1" indent="1"/>
    </xf>
    <xf numFmtId="167" fontId="23" fillId="38" borderId="14" xfId="0" applyFont="1" applyFill="1" applyBorder="1" applyNumberFormat="1">
      <alignment horizontal="left" vertical="center" wrapText="1" indent="1"/>
    </xf>
    <xf numFmtId="0" fontId="55" fillId="0" borderId="0" xfId="0" applyFont="1" applyNumberFormat="1">
      <alignment vertical="center" wrapText="1"/>
    </xf>
    <xf numFmtId="0" fontId="45" fillId="0" borderId="29" xfId="0" applyFont="1" applyBorder="1" applyNumberFormat="1">
      <alignment horizontal="center" vertical="center" wrapText="1"/>
    </xf>
    <xf numFmtId="0" fontId="23" fillId="0" borderId="14" xfId="0" applyFont="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23"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23" fillId="0" borderId="39"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37" borderId="38" xfId="0" applyFont="1" applyFill="1" applyBorder="1" applyNumberFormat="1">
      <alignment horizontal="center" vertical="center" wrapText="1"/>
    </xf>
    <xf numFmtId="0" fontId="54" fillId="0" borderId="0" xfId="0" applyFont="1" applyNumberFormat="1">
      <alignment horizontal="center" vertical="center" wrapText="1"/>
    </xf>
    <xf numFmtId="0" fontId="23" fillId="0" borderId="32"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0" xfId="0" applyFont="1" applyFill="1" applyNumberFormat="1">
      <alignment horizontal="center" vertical="center" wrapText="1"/>
    </xf>
    <xf numFmtId="167" fontId="0" fillId="42" borderId="19" xfId="0" applyFont="1" applyFill="1" applyBorder="1" applyNumberFormat="1">
      <alignment horizontal="center" vertical="center" wrapText="1"/>
      <protection locked="0"/>
    </xf>
    <xf numFmtId="167" fontId="0" fillId="42" borderId="19" xfId="0" applyFont="1" applyFill="1" applyBorder="1" applyNumberFormat="1">
      <alignment horizontal="center" vertical="center" wrapText="1"/>
      <protection locked="0"/>
    </xf>
    <xf numFmtId="167" fontId="0" fillId="42" borderId="14" xfId="0" applyFont="1" applyFill="1" applyBorder="1" applyNumberFormat="1">
      <alignment horizontal="center" vertical="center" wrapText="1"/>
      <protection locked="0"/>
    </xf>
    <xf numFmtId="49" fontId="0" fillId="42" borderId="25"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0" fillId="0" borderId="0" xfId="0" applyFont="1" applyNumberFormat="1">
      <alignment vertical="top"/>
    </xf>
    <xf numFmtId="0" fontId="54" fillId="0" borderId="0" xfId="0" applyFont="1" applyNumberFormat="1">
      <alignment horizontal="left" vertical="center" indent="1"/>
    </xf>
    <xf numFmtId="0" fontId="54" fillId="0" borderId="16" xfId="0" applyFont="1" applyBorder="1" applyNumberFormat="1">
      <alignment horizontal="center" vertical="center"/>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xf>
    <xf numFmtId="0" fontId="23" fillId="37" borderId="14" xfId="0" applyFont="1" applyFill="1" applyBorder="1" applyNumberFormat="1">
      <alignment horizontal="left" vertical="center" wrapText="1" indent="1"/>
    </xf>
    <xf numFmtId="0" fontId="23" fillId="0" borderId="14" xfId="0" applyFont="1" applyBorder="1" applyNumberFormat="1">
      <alignment horizontal="left" vertical="center" wrapText="1" indent="6"/>
    </xf>
    <xf numFmtId="0" fontId="53" fillId="0" borderId="14" xfId="0" applyFont="1" applyBorder="1" applyNumberFormat="1">
      <alignment vertical="top" wrapText="1"/>
    </xf>
    <xf numFmtId="0" fontId="55" fillId="0" borderId="0" xfId="0" applyFont="1" applyNumberFormat="1">
      <alignment vertical="center"/>
    </xf>
    <xf numFmtId="49" fontId="0" fillId="0" borderId="0" xfId="0" applyFont="1" applyNumberFormat="1">
      <alignment vertical="top"/>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49" fontId="0" fillId="0" borderId="0" xfId="0" applyFont="1" applyNumberFormat="1">
      <alignment vertical="top"/>
    </xf>
    <xf numFmtId="0" fontId="54" fillId="0" borderId="14" xfId="0" applyFont="1" applyBorder="1" applyNumberFormat="1">
      <alignment horizontal="center" vertical="center" wrapText="1"/>
    </xf>
    <xf numFmtId="49" fontId="54" fillId="0" borderId="0" xfId="0" applyFont="1" applyNumberFormat="1">
      <alignment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0" fillId="0" borderId="0" xfId="0" applyFont="1" applyNumberFormat="1">
      <alignment vertical="top"/>
    </xf>
    <xf numFmtId="0" fontId="54" fillId="0" borderId="16" xfId="0" applyFont="1" applyBorder="1" applyNumberFormat="1">
      <alignment horizontal="center"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53" fillId="0" borderId="19" xfId="0" applyFont="1" applyBorder="1" applyNumberFormat="1">
      <alignment vertical="top" wrapText="1"/>
    </xf>
    <xf numFmtId="49" fontId="0" fillId="0" borderId="0" xfId="0" applyFont="1" applyNumberFormat="1">
      <alignment vertical="top"/>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0" fillId="0" borderId="0" xfId="0" applyFont="1" applyNumberFormat="1">
      <alignment vertical="top"/>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23" fillId="0" borderId="0" xfId="0" applyFont="1" applyNumberFormat="1">
      <alignment vertical="top"/>
    </xf>
    <xf numFmtId="49" fontId="47" fillId="0" borderId="0" xfId="0" applyFont="1" applyNumberFormat="1">
      <alignment vertical="top"/>
    </xf>
    <xf numFmtId="49" fontId="23" fillId="0" borderId="26" xfId="0" applyFont="1" applyBorder="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49" fontId="55" fillId="0" borderId="0" xfId="0" applyFont="1" applyNumberFormat="1">
      <alignment horizontal="left" vertical="center"/>
    </xf>
    <xf numFmtId="49" fontId="55" fillId="0" borderId="0" xfId="0" applyFont="1" applyNumberFormat="1">
      <alignment vertical="top"/>
    </xf>
    <xf numFmtId="49" fontId="112" fillId="0" borderId="0" xfId="0" applyFont="1" applyNumberFormat="1">
      <alignment vertical="top"/>
    </xf>
    <xf numFmtId="49" fontId="102" fillId="0" borderId="0" xfId="0" applyFont="1" applyNumberFormat="1">
      <alignment horizontal="left" vertical="center"/>
    </xf>
    <xf numFmtId="49" fontId="55" fillId="0" borderId="0" xfId="0" applyFont="1" applyNumberFormat="1">
      <alignment horizontal="left" vertical="center" inden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49" fontId="0" fillId="0" borderId="0" xfId="0" applyFont="1" applyNumberFormat="1">
      <alignment vertical="top"/>
    </xf>
    <xf numFmtId="49" fontId="23" fillId="0" borderId="0" xfId="0" applyFont="1" applyNumberFormat="1">
      <alignment vertical="center" wrapText="1"/>
    </xf>
    <xf numFmtId="0" fontId="23" fillId="0" borderId="14" xfId="0" applyFont="1" applyBorder="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0" fontId="6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0" fontId="68" fillId="0" borderId="0" xfId="0" applyFont="1" applyNumberFormat="1">
      <alignmen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49"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0" fontId="23" fillId="0" borderId="14" xfId="0" applyFont="1" applyBorder="1" applyNumberFormat="1">
      <alignment horizontal="center" vertical="center" wrapText="1"/>
    </xf>
    <xf numFmtId="0" fontId="23" fillId="0" borderId="14" xfId="0" applyFont="1" applyBorder="1" applyNumberFormat="1">
      <alignment vertical="center" wrapText="1"/>
    </xf>
    <xf numFmtId="0" fontId="89" fillId="0" borderId="0" xfId="0" applyFont="1" applyNumberFormat="1">
      <alignment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4" fontId="23" fillId="39" borderId="14" xfId="0" applyFont="1" applyFill="1" applyBorder="1" applyNumberFormat="1">
      <alignment horizontal="right" vertical="center" wrapText="1"/>
      <protection locked="0"/>
    </xf>
    <xf numFmtId="0" fontId="23" fillId="39" borderId="14" xfId="0" applyFont="1" applyFill="1" applyBorder="1" applyNumberFormat="1">
      <alignment horizontal="left" vertical="center" wrapText="1"/>
      <protection locked="0"/>
    </xf>
    <xf numFmtId="49" fontId="96" fillId="0" borderId="0" xfId="0" applyFont="1" applyNumberFormat="1">
      <alignment horizontal="center" vertical="center" wrapText="1"/>
    </xf>
    <xf numFmtId="49" fontId="23" fillId="0" borderId="0" xfId="0" applyFont="1" applyNumberFormat="1">
      <alignment horizontal="center" vertical="top" wrapText="1"/>
    </xf>
    <xf numFmtId="0" fontId="23" fillId="0" borderId="14" xfId="0" applyFont="1" applyBorder="1" applyNumberFormat="1">
      <alignment horizontal="center" vertical="center" wrapText="1"/>
    </xf>
    <xf numFmtId="0" fontId="23" fillId="0" borderId="15" xfId="0" applyFont="1" applyBorder="1" applyNumberFormat="1">
      <alignment vertical="top" wrapText="1"/>
    </xf>
    <xf numFmtId="0" fontId="59" fillId="0" borderId="0" xfId="0" applyFont="1" applyNumberFormat="1">
      <alignment vertical="center" wrapText="1"/>
    </xf>
    <xf numFmtId="0" fontId="23" fillId="0" borderId="15" xfId="0" applyFont="1" applyBorder="1" applyNumberFormat="1">
      <alignment horizontal="center" vertical="center" wrapText="1"/>
    </xf>
    <xf numFmtId="166" fontId="23" fillId="39" borderId="14" xfId="0" applyFont="1" applyFill="1" applyBorder="1" applyNumberFormat="1">
      <alignment horizontal="right" vertical="center" wrapText="1"/>
      <protection locked="0"/>
    </xf>
    <xf numFmtId="0" fontId="23" fillId="0" borderId="22" xfId="0" applyFont="1" applyBorder="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2" fillId="37" borderId="0" xfId="0" applyFont="1" applyFill="1" applyNumberFormat="1">
      <alignment horizontal="right" vertical="center"/>
    </xf>
    <xf numFmtId="0" fontId="23" fillId="0" borderId="16" xfId="0" applyFont="1" applyBorder="1" applyNumberFormat="1">
      <alignment vertical="center"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0" fontId="45" fillId="0" borderId="0" xfId="0" applyFont="1" applyNumberFormat="1">
      <alignment horizontal="center" vertical="center" wrapText="1"/>
    </xf>
    <xf numFmtId="49" fontId="23" fillId="40" borderId="16" xfId="0" applyFont="1" applyFill="1" applyBorder="1" applyNumberFormat="1">
      <alignment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14" xfId="0" applyFont="1" applyBorder="1" applyNumberFormat="1">
      <alignment horizontal="left" vertical="center" wrapText="1" indent="2"/>
    </xf>
    <xf numFmtId="14" fontId="23" fillId="0" borderId="0" xfId="0" applyFont="1" applyNumberFormat="1">
      <alignment horizontal="center" vertical="center" wrapText="1"/>
    </xf>
    <xf numFmtId="49" fontId="96" fillId="48" borderId="0" xfId="0" applyFont="1" applyFill="1" applyNumberFormat="1">
      <alignment horizontal="center" vertical="center" wrapText="1"/>
    </xf>
    <xf numFmtId="49" fontId="36" fillId="0" borderId="0" xfId="0" applyFont="1" applyNumberFormat="1">
      <alignment horizontal="center" vertical="center"/>
    </xf>
    <xf numFmtId="166" fontId="23" fillId="42" borderId="14" xfId="0" applyFont="1" applyFill="1" applyBorder="1" applyNumberFormat="1">
      <alignment horizontal="right" vertical="center" wrapText="1"/>
      <protection locked="0"/>
    </xf>
    <xf numFmtId="0" fontId="54" fillId="0" borderId="0" xfId="0" applyFont="1" applyNumberFormat="1">
      <alignment horizontal="left" vertical="center" wrapText="1"/>
    </xf>
    <xf numFmtId="49" fontId="96" fillId="0" borderId="0" xfId="0" applyFont="1" applyNumberFormat="1">
      <alignment horizontal="left" vertical="center" wrapText="1"/>
    </xf>
    <xf numFmtId="0" fontId="55" fillId="0" borderId="0" xfId="0" applyFont="1" applyNumberFormat="1">
      <alignment horizontal="left" vertical="center" wrapText="1"/>
    </xf>
    <xf numFmtId="49" fontId="23"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43" borderId="14" xfId="0" applyFont="1" applyFill="1" applyBorder="1" applyNumberFormat="1">
      <alignment horizontal="left" vertical="center" wrapText="1"/>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4" fontId="23" fillId="42" borderId="15" xfId="0" applyFont="1" applyFill="1" applyBorder="1" applyNumberFormat="1">
      <alignment horizontal="right" vertical="center" wrapText="1"/>
      <protection locked="0"/>
    </xf>
    <xf numFmtId="49" fontId="34" fillId="39" borderId="15" xfId="0" applyFont="1" applyFill="1" applyBorder="1" applyNumberFormat="1">
      <alignment horizontal="left" vertical="center" wrapText="1"/>
      <protection locked="0"/>
    </xf>
    <xf numFmtId="49" fontId="34" fillId="39" borderId="14" xfId="0" applyFont="1" applyFill="1" applyBorder="1" applyNumberFormat="1">
      <alignment horizontal="left" vertical="center" wrapText="1"/>
      <protection locked="0"/>
    </xf>
    <xf numFmtId="0" fontId="54" fillId="0" borderId="0" xfId="0" applyFont="1" applyNumberFormat="1">
      <alignment vertical="center" wrapText="1"/>
    </xf>
    <xf numFmtId="0" fontId="55" fillId="0" borderId="0" xfId="0" applyFont="1" applyNumberFormat="1">
      <alignment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166" fontId="23" fillId="42" borderId="15" xfId="0" applyFont="1" applyFill="1" applyBorder="1" applyNumberFormat="1">
      <alignment horizontal="right" vertical="center" wrapText="1"/>
      <protection locked="0"/>
    </xf>
    <xf numFmtId="0" fontId="89"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4" fillId="0" borderId="0" xfId="0" applyFont="1" applyNumberFormat="1">
      <alignment vertical="center" wrapText="1"/>
    </xf>
    <xf numFmtId="166" fontId="23" fillId="38" borderId="15" xfId="0" applyFont="1" applyFill="1" applyBorder="1" applyNumberFormat="1">
      <alignment horizontal="right" vertical="center" wrapText="1"/>
    </xf>
    <xf numFmtId="166" fontId="23" fillId="38" borderId="14" xfId="0" applyFont="1" applyFill="1" applyBorder="1" applyNumberFormat="1">
      <alignment horizontal="right" vertical="center" wrapText="1"/>
    </xf>
    <xf numFmtId="49" fontId="96" fillId="48" borderId="0" xfId="0" applyFont="1" applyFill="1" applyNumberFormat="1">
      <alignment horizontal="center" vertical="center" textRotation="90" wrapText="1"/>
    </xf>
    <xf numFmtId="0" fontId="23" fillId="42" borderId="14" xfId="0" applyFont="1" applyFill="1" applyBorder="1" applyNumberFormat="1">
      <alignment horizontal="center" vertical="center" wrapText="1"/>
      <protection locked="0"/>
    </xf>
    <xf numFmtId="4" fontId="23" fillId="42" borderId="31"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166" fontId="23" fillId="42" borderId="19" xfId="0" applyFont="1" applyFill="1" applyBorder="1" applyNumberFormat="1">
      <alignment horizontal="right" vertical="center" wrapText="1"/>
      <protection locked="0"/>
    </xf>
    <xf numFmtId="0" fontId="55" fillId="0" borderId="25" xfId="0" applyFont="1" applyBorder="1" applyNumberFormat="1">
      <alignment horizontal="left" vertical="center" wrapText="1" indent="1"/>
    </xf>
    <xf numFmtId="0" fontId="55" fillId="0" borderId="19" xfId="0" applyFont="1" applyBorder="1" applyNumberFormat="1">
      <alignment horizontal="center" vertical="center" wrapText="1"/>
    </xf>
    <xf numFmtId="0" fontId="45" fillId="0" borderId="0" xfId="0" applyFont="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25" xfId="0" applyFont="1" applyBorder="1" applyNumberFormat="1">
      <alignment vertical="top" wrapText="1"/>
    </xf>
    <xf numFmtId="0" fontId="55" fillId="0" borderId="19" xfId="0" applyFont="1" applyBorder="1" applyNumberFormat="1">
      <alignment horizontal="left" vertical="center" wrapText="1" indent="1"/>
    </xf>
    <xf numFmtId="49" fontId="34" fillId="39" borderId="14"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9" fillId="0" borderId="0" xfId="0" applyFont="1" applyNumberFormat="1">
      <alignment vertical="center"/>
    </xf>
    <xf numFmtId="0" fontId="96" fillId="0" borderId="0" xfId="0" applyFont="1" applyNumberFormat="1">
      <alignment vertical="center" wrapText="1"/>
    </xf>
    <xf numFmtId="49" fontId="96" fillId="0" borderId="0" xfId="0" applyFont="1" applyNumberFormat="1">
      <alignment horizontal="center" vertical="center" wrapText="1"/>
    </xf>
    <xf numFmtId="0" fontId="23" fillId="0" borderId="0" xfId="0" applyFont="1" applyNumberFormat="1">
      <alignment vertical="center" wrapText="1"/>
    </xf>
    <xf numFmtId="0" fontId="59" fillId="0" borderId="0" xfId="0" applyFont="1" applyNumberFormat="1">
      <alignment vertical="center" wrapText="1"/>
    </xf>
    <xf numFmtId="0" fontId="23" fillId="0" borderId="21" xfId="0" applyFont="1" applyBorder="1" applyNumberFormat="1">
      <alignment vertical="center" wrapText="1"/>
    </xf>
    <xf numFmtId="0" fontId="23" fillId="0" borderId="0" xfId="0" applyFont="1" applyNumberFormat="1">
      <alignment horizontal="center" vertical="center" wrapText="1"/>
    </xf>
    <xf numFmtId="49" fontId="40" fillId="0" borderId="0" xfId="0" applyFont="1" applyNumberFormat="1">
      <alignment horizontal="center" vertical="center" wrapText="1"/>
    </xf>
    <xf numFmtId="0" fontId="23" fillId="0" borderId="29" xfId="0" applyFont="1" applyBorder="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36" fillId="0" borderId="0" xfId="0" applyFont="1" applyNumberFormat="1">
      <alignment horizontal="center" vertical="center" wrapText="1"/>
    </xf>
    <xf numFmtId="49" fontId="68" fillId="0" borderId="0" xfId="0" applyFont="1" applyNumberFormat="1">
      <alignment horizontal="center" vertical="center" wrapText="1"/>
    </xf>
    <xf numFmtId="0" fontId="77" fillId="0" borderId="0" xfId="0" applyFont="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68" fillId="0" borderId="0" xfId="0" applyFont="1" applyNumberFormat="1">
      <alignment vertical="center" wrapText="1"/>
    </xf>
    <xf numFmtId="0" fontId="76" fillId="0" borderId="0" xfId="0" applyFont="1" applyNumberFormat="1">
      <alignment vertical="center" wrapText="1"/>
    </xf>
    <xf numFmtId="0" fontId="23" fillId="0" borderId="14" xfId="0" applyFont="1" applyBorder="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center" vertical="center" wrapText="1"/>
    </xf>
    <xf numFmtId="0" fontId="23" fillId="0" borderId="0" xfId="0" applyFont="1" applyNumberFormat="1">
      <alignment vertical="center" wrapText="1"/>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19" xfId="0" applyFont="1" applyBorder="1" applyNumberFormat="1">
      <alignment horizontal="center" vertical="center" wrapText="1"/>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38" borderId="14" xfId="0" applyFont="1" applyFill="1" applyBorder="1" applyNumberFormat="1">
      <alignment horizontal="left" vertical="center" wrapText="1" indent="1"/>
    </xf>
    <xf numFmtId="0" fontId="23" fillId="0" borderId="15" xfId="0" applyFont="1" applyBorder="1" applyNumberFormat="1">
      <alignment horizontal="left" vertical="center" wrapText="1" indent="1"/>
    </xf>
    <xf numFmtId="49" fontId="55" fillId="0" borderId="24" xfId="0" applyFont="1" applyBorder="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0" fontId="54" fillId="0" borderId="0" xfId="0" applyFont="1" applyNumberFormat="1">
      <alignment horizontal="center"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49" fontId="55"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25" xfId="0" applyFont="1" applyBorder="1" applyNumberFormat="1">
      <alignment horizontal="left" vertical="center" wrapText="1"/>
    </xf>
    <xf numFmtId="2" fontId="23" fillId="0" borderId="25" xfId="0" applyFont="1" applyBorder="1" applyNumberFormat="1">
      <alignment horizontal="center" vertical="center" wrapText="1"/>
    </xf>
    <xf numFmtId="0" fontId="23" fillId="0" borderId="14" xfId="0" applyFont="1" applyBorder="1" applyNumberFormat="1">
      <alignment horizontal="left" vertical="center" wrapText="1"/>
    </xf>
    <xf numFmtId="49" fontId="55" fillId="0" borderId="24" xfId="0" applyFont="1" applyBorder="1" applyNumberFormat="1">
      <alignment vertical="top"/>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24" xfId="0" applyFont="1" applyBorder="1" applyNumberFormat="1">
      <alignmen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23" fillId="0" borderId="25" xfId="0" applyFont="1" applyBorder="1" applyNumberFormat="1">
      <alignment horizontal="left" vertical="center" wrapText="1"/>
    </xf>
    <xf numFmtId="0" fontId="23" fillId="0" borderId="14" xfId="0" applyFont="1" applyBorder="1" applyNumberFormat="1">
      <alignment horizontal="left" vertical="center" wrapText="1"/>
    </xf>
    <xf numFmtId="0" fontId="54" fillId="0" borderId="0" xfId="0" applyFont="1" applyNumberFormat="1">
      <alignment horizontal="center" vertical="top"/>
    </xf>
    <xf numFmtId="0" fontId="55" fillId="0" borderId="0" xfId="0" applyFont="1" applyNumberFormat="1">
      <alignment horizontal="center" vertical="center" wrapText="1"/>
    </xf>
    <xf numFmtId="49" fontId="55" fillId="0" borderId="25" xfId="0" applyFont="1" applyBorder="1" applyNumberFormat="1">
      <alignment horizontal="center" vertical="center" wrapText="1"/>
    </xf>
    <xf numFmtId="49" fontId="48" fillId="0" borderId="21"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53" fillId="0" borderId="0" xfId="0" applyFont="1" applyNumberFormat="1">
      <alignment horizontal="left" vertical="top" wrapText="1"/>
    </xf>
    <xf numFmtId="49" fontId="40" fillId="0" borderId="0" xfId="0" applyFont="1" applyNumberFormat="1">
      <alignment horizontal="center" vertical="center" wrapText="1"/>
    </xf>
    <xf numFmtId="0" fontId="55" fillId="0" borderId="0" xfId="0" applyFont="1" applyNumberFormat="1">
      <alignment vertical="center" wrapText="1"/>
    </xf>
    <xf numFmtId="0" fontId="40"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55" fillId="0" borderId="16" xfId="0" applyFont="1" applyBorder="1" applyNumberFormat="1">
      <alignment vertical="center" wrapTex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55" fillId="0" borderId="16" xfId="0" applyFont="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14" xfId="0" applyFont="1" applyBorder="1" applyNumberFormat="1">
      <alignment horizontal="left" vertical="center" wrapText="1"/>
    </xf>
    <xf numFmtId="49" fontId="23" fillId="0" borderId="61" xfId="0" applyFont="1" applyBorder="1" applyNumberFormat="1">
      <alignment horizontal="center" vertical="center" wrapText="1"/>
    </xf>
    <xf numFmtId="0" fontId="23"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5"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9" fontId="48" fillId="40" borderId="21" xfId="0" applyFont="1" applyFill="1" applyBorder="1" applyNumberFormat="1">
      <alignment horizontal="left" vertical="center" indent="2"/>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9" xfId="0" applyFont="1" applyBorder="1" applyNumberFormat="1">
      <alignment horizontal="left" vertical="center" wrapText="1"/>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9" xfId="0" applyFont="1" applyBorder="1" applyNumberFormat="1">
      <alignment horizontal="left" vertical="center" wrapText="1" indent="1"/>
    </xf>
    <xf numFmtId="0" fontId="23" fillId="0" borderId="19"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left" vertical="center" wrapText="1" inden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horizontal="left" vertical="top"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9" fontId="23" fillId="58" borderId="0" xfId="0" applyFont="1" applyFill="1" applyNumberFormat="1">
      <alignment horizontal="center" vertical="center" textRotation="90"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76" fillId="0" borderId="24" xfId="0" applyFont="1" applyBorder="1" applyNumberFormat="1">
      <alignment vertical="center" wrapText="1"/>
    </xf>
    <xf numFmtId="49"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23" fillId="0" borderId="14" xfId="0" applyFont="1" applyBorder="1" applyNumberFormat="1">
      <alignment horizontal="center" vertical="center" wrapText="1"/>
    </xf>
    <xf numFmtId="49" fontId="23" fillId="39" borderId="14" xfId="0" applyFont="1" applyFill="1" applyBorder="1" applyNumberFormat="1">
      <alignment horizontal="left" vertical="center" wrapText="1"/>
      <protection locked="0"/>
    </xf>
    <xf numFmtId="3" fontId="23" fillId="39" borderId="16" xfId="0" applyFont="1" applyFill="1" applyBorder="1" applyNumberFormat="1">
      <alignment horizontal="right" vertical="center" wrapText="1"/>
      <protection locked="0"/>
    </xf>
    <xf numFmtId="4" fontId="23" fillId="39" borderId="16" xfId="0" applyFont="1" applyFill="1" applyBorder="1" applyNumberFormat="1">
      <alignment horizontal="right" vertical="center" wrapText="1"/>
      <protection locked="0"/>
    </xf>
    <xf numFmtId="49" fontId="23" fillId="42" borderId="14"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88" fillId="0" borderId="0" xfId="0" applyFont="1" applyNumberFormat="1">
      <alignment vertical="center" wrapText="1"/>
    </xf>
    <xf numFmtId="0" fontId="23" fillId="0" borderId="14" xfId="0" applyFont="1" applyBorder="1" applyNumberFormat="1">
      <alignment horizontal="left" vertical="center" wrapText="1" indent="2"/>
    </xf>
    <xf numFmtId="3" fontId="53" fillId="39" borderId="14" xfId="0" applyFont="1" applyFill="1" applyBorder="1" applyNumberFormat="1">
      <alignment horizontal="right" vertical="center"/>
      <protection locked="0"/>
    </xf>
    <xf numFmtId="49" fontId="23" fillId="39" borderId="16" xfId="0" applyFont="1" applyFill="1" applyBorder="1" applyNumberFormat="1">
      <alignment horizontal="left" vertical="center" wrapText="1"/>
      <protection locked="0"/>
    </xf>
    <xf numFmtId="0" fontId="53"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4" xfId="0" applyFont="1" applyBorder="1" applyNumberFormat="1">
      <alignment horizontal="left" vertical="center" wrapText="1"/>
    </xf>
    <xf numFmtId="49" fontId="23" fillId="0" borderId="34" xfId="0" applyFont="1" applyBorder="1" applyNumberFormat="1">
      <alignment horizontal="center" vertical="center" wrapText="1"/>
    </xf>
    <xf numFmtId="0" fontId="23" fillId="0" borderId="34" xfId="0" applyFont="1" applyBorder="1" applyNumberFormat="1">
      <alignment horizontal="left" vertical="center" wrapText="1"/>
    </xf>
    <xf numFmtId="4" fontId="23" fillId="0" borderId="42" xfId="0" applyFont="1" applyBorder="1" applyNumberFormat="1">
      <alignment horizontal="center" vertical="center" wrapText="1"/>
    </xf>
    <xf numFmtId="49" fontId="34" fillId="0" borderId="32"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5"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34" fillId="0" borderId="16" xfId="0" applyFont="1" applyBorder="1" applyNumberFormat="1">
      <alignment horizontal="left" vertical="center" wrapText="1"/>
    </xf>
    <xf numFmtId="4" fontId="23" fillId="0" borderId="19"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0" fontId="23" fillId="0" borderId="35" xfId="0" applyFont="1" applyBorder="1" applyNumberFormat="1">
      <alignment horizontal="left" vertical="center" wrapText="1"/>
    </xf>
    <xf numFmtId="49" fontId="34" fillId="0" borderId="17"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0" borderId="34"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2"/>
    </xf>
    <xf numFmtId="4" fontId="23" fillId="0" borderId="33" xfId="0" applyFont="1" applyBorder="1" applyNumberFormat="1">
      <alignment horizontal="center" vertical="center" wrapText="1"/>
    </xf>
    <xf numFmtId="49" fontId="23" fillId="0" borderId="36" xfId="0" applyFont="1" applyBorder="1" applyNumberFormat="1">
      <alignment horizontal="center" vertical="center" wrapText="1"/>
    </xf>
    <xf numFmtId="49" fontId="34" fillId="42" borderId="14"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 fontId="23" fillId="0" borderId="37" xfId="0" applyFont="1" applyBorder="1" applyNumberFormat="1">
      <alignment horizontal="center" vertical="center" wrapText="1"/>
    </xf>
    <xf numFmtId="49" fontId="34" fillId="0" borderId="39" xfId="0" applyFont="1" applyBorder="1" applyNumberFormat="1">
      <alignment horizontal="left" vertical="center" wrapText="1"/>
    </xf>
    <xf numFmtId="49" fontId="23" fillId="0" borderId="35"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 fontId="23" fillId="42" borderId="36" xfId="0" applyFont="1" applyFill="1" applyBorder="1" applyNumberFormat="1">
      <alignment horizontal="right" vertical="center" wrapText="1"/>
      <protection locked="0"/>
    </xf>
    <xf numFmtId="49" fontId="34" fillId="42" borderId="16" xfId="0" applyFont="1" applyFill="1" applyBorder="1" applyNumberFormat="1">
      <alignment horizontal="left" vertical="center" wrapText="1"/>
      <protection locked="0"/>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0" fillId="0" borderId="16" xfId="0" applyFont="1" applyBorder="1" applyNumberFormat="1">
      <alignment horizontal="center" vertical="center"/>
    </xf>
    <xf numFmtId="0" fontId="23" fillId="0" borderId="15" xfId="0" applyFont="1" applyBorder="1" applyNumberFormat="1">
      <alignment horizontal="center" vertical="center" wrapText="1"/>
    </xf>
    <xf numFmtId="167" fontId="0" fillId="39"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44" fillId="0" borderId="0" xfId="0" applyFont="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0" borderId="15"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5" xfId="0" applyFont="1" applyBorder="1" applyNumberFormat="1">
      <alignment horizontal="center"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vertical="center" wrapText="1"/>
    </xf>
    <xf numFmtId="0" fontId="23" fillId="40" borderId="29" xfId="0" applyFont="1" applyFill="1" applyBorder="1" applyNumberFormat="1">
      <alignment vertical="center" wrapText="1"/>
    </xf>
    <xf numFmtId="0" fontId="44" fillId="0" borderId="0" xfId="0" applyFont="1" applyNumberFormat="1">
      <alignment horizontal="center" vertical="center" wrapText="1"/>
    </xf>
    <xf numFmtId="0" fontId="88" fillId="0" borderId="0" xfId="0" applyFont="1" applyNumberFormat="1">
      <alignment vertical="center" wrapText="1"/>
    </xf>
    <xf numFmtId="49" fontId="54" fillId="0" borderId="0" xfId="0" applyFont="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49" fontId="103" fillId="0" borderId="0" xfId="0" applyFont="1" applyNumberFormat="1">
      <alignment horizontal="center"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0" fontId="0" fillId="0" borderId="14" xfId="0" applyFont="1" applyBorder="1" applyNumberFormat="1">
      <alignment horizontal="left" vertical="center" wrapText="1" indent="1"/>
    </xf>
    <xf numFmtId="49"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55" fillId="0" borderId="0" xfId="0" applyFont="1" applyNumberFormat="1">
      <alignment horizontal="center" vertical="center" wrapText="1"/>
    </xf>
    <xf numFmtId="49" fontId="23" fillId="0" borderId="16" xfId="0" applyFont="1" applyBorder="1" applyNumberFormat="1">
      <alignment horizontal="center" vertical="center" wrapText="1"/>
    </xf>
    <xf numFmtId="49" fontId="48" fillId="40" borderId="16" xfId="0" applyFont="1" applyFill="1" applyBorder="1" applyNumberFormat="1">
      <alignment horizontal="left" vertical="center" indent="1"/>
    </xf>
    <xf numFmtId="0" fontId="23" fillId="40" borderId="31" xfId="0" applyFont="1" applyFill="1" applyBorder="1" applyNumberFormat="1">
      <alignment vertical="center" wrapText="1"/>
    </xf>
    <xf numFmtId="49" fontId="54" fillId="0" borderId="0" xfId="0" applyFont="1" applyNumberFormat="1">
      <alignment horizontal="center" vertical="center" wrapText="1"/>
    </xf>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78" fillId="0" borderId="41" xfId="0" applyFont="1" applyBorder="1" applyNumberFormat="1">
      <alignment vertical="top"/>
    </xf>
    <xf numFmtId="49" fontId="78" fillId="0" borderId="41" xfId="0" applyFont="1" applyBorder="1" applyNumberFormat="1">
      <alignment vertical="top"/>
    </xf>
    <xf numFmtId="0" fontId="36" fillId="37" borderId="41" xfId="0" applyFont="1" applyFill="1" applyBorder="1" applyNumberFormat="1">
      <alignment horizontal="center" wrapText="1"/>
    </xf>
    <xf numFmtId="0" fontId="36" fillId="37" borderId="41" xfId="0" applyFont="1" applyFill="1" applyBorder="1" applyNumberFormat="1">
      <alignment horizont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40" xfId="0" applyFont="1" applyBorder="1" applyNumberFormat="1">
      <alignmen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0" fillId="0" borderId="14" xfId="0" applyFont="1" applyBorder="1" applyNumberFormat="1">
      <alignment horizontal="center" vertical="center" wrapText="1"/>
    </xf>
    <xf numFmtId="49" fontId="23" fillId="0" borderId="0" xfId="0" applyFont="1" applyNumberFormat="1">
      <alignment vertical="top"/>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0" fontId="23" fillId="37" borderId="0" xfId="0" applyFont="1" applyFill="1" applyNumberFormat="1">
      <alignment vertical="center" wrapText="1"/>
    </xf>
    <xf numFmtId="0" fontId="23" fillId="37" borderId="21" xfId="0" applyFont="1" applyFill="1" applyBorder="1" applyNumberFormat="1">
      <alignment vertical="center" wrapText="1"/>
    </xf>
    <xf numFmtId="49" fontId="23" fillId="0" borderId="0" xfId="0" applyFont="1" applyNumberFormat="1">
      <alignment vertical="top"/>
    </xf>
    <xf numFmtId="49" fontId="55" fillId="0" borderId="0" xfId="0" applyFont="1" applyNumberFormat="1">
      <alignment vertical="top"/>
    </xf>
    <xf numFmtId="0" fontId="55" fillId="0" borderId="41" xfId="0" applyFont="1" applyBorder="1" applyNumberFormat="1">
      <alignment vertical="center" wrapText="1"/>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0" fontId="23" fillId="0" borderId="40" xfId="0" applyFont="1" applyBorder="1" applyNumberFormat="1">
      <alignment vertical="center"/>
    </xf>
    <xf numFmtId="49" fontId="0" fillId="0" borderId="19"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23" fillId="0" borderId="24" xfId="0" applyFont="1" applyBorder="1" applyNumberFormat="1">
      <alignment vertical="top"/>
    </xf>
    <xf numFmtId="49" fontId="0" fillId="0" borderId="38"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xf>
    <xf numFmtId="49" fontId="0" fillId="38" borderId="14" xfId="0" applyFont="1" applyFill="1" applyBorder="1" applyNumberFormat="1">
      <alignment horizontal="center" vertical="center"/>
    </xf>
    <xf numFmtId="0" fontId="23" fillId="0" borderId="24" xfId="0" applyFont="1" applyBorder="1" applyNumberFormat="1">
      <alignment vertical="center" wrapText="1"/>
    </xf>
    <xf numFmtId="49" fontId="0" fillId="0" borderId="14"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 fontId="0" fillId="39"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horizontal="left" vertical="center" wrapText="1"/>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49" fontId="54" fillId="0" borderId="0" xfId="0" applyFont="1" applyNumberFormat="1">
      <alignment horizontal="center" vertical="center" wrapText="1"/>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23" fillId="0" borderId="0" xfId="0" applyFont="1" applyNumberFormat="1">
      <alignment horizontal="center" vertical="top" wrapText="1"/>
    </xf>
    <xf numFmtId="49" fontId="40"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2" xfId="0" applyFont="1" applyBorder="1" applyNumberFormat="1">
      <alignment horizontal="left" vertical="top" wrapText="1"/>
    </xf>
    <xf numFmtId="49" fontId="23" fillId="0" borderId="0" xfId="0" applyFont="1" applyNumberFormat="1">
      <alignment horizontal="center" vertical="center" wrapText="1"/>
    </xf>
    <xf numFmtId="49" fontId="40" fillId="0" borderId="0" xfId="0" applyFont="1" applyNumberFormat="1">
      <alignment horizontal="center" vertical="center" wrapText="1"/>
    </xf>
    <xf numFmtId="49" fontId="23" fillId="37" borderId="0" xfId="0" applyFont="1" applyFill="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49" fontId="53" fillId="37" borderId="0" xfId="0" applyFont="1" applyFill="1" applyNumberFormat="1">
      <alignment vertical="center" wrapText="1"/>
    </xf>
    <xf numFmtId="49" fontId="23" fillId="37" borderId="14"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49" fontId="23" fillId="0" borderId="0" xfId="0" applyFont="1" applyNumberFormat="1">
      <alignment vertical="center" wrapText="1"/>
    </xf>
    <xf numFmtId="49" fontId="53" fillId="0" borderId="0" xfId="0" applyFont="1" applyNumberFormat="1">
      <alignment vertical="top"/>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3" fillId="0" borderId="0" xfId="0" applyFont="1" applyNumberFormat="1">
      <alignment vertical="center"/>
    </xf>
    <xf numFmtId="49" fontId="53" fillId="37" borderId="0" xfId="0" applyFont="1" applyFill="1" applyNumberFormat="1">
      <alignment vertical="center"/>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104"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49" fontId="53" fillId="0" borderId="0" xfId="0" applyFont="1" applyNumberFormat="1">
      <alignment vertical="center" wrapText="1"/>
    </xf>
    <xf numFmtId="49" fontId="53" fillId="0" borderId="0" xfId="0" applyFont="1" applyNumberFormat="1">
      <alignment vertical="top"/>
    </xf>
    <xf numFmtId="0" fontId="53" fillId="0" borderId="0" xfId="0" applyFont="1" applyNumberFormat="1">
      <alignment vertical="center" wrapText="1"/>
    </xf>
    <xf numFmtId="49" fontId="99" fillId="0" borderId="0" xfId="0" applyFont="1" applyNumberFormat="1">
      <alignment vertical="center" wrapText="1"/>
    </xf>
    <xf numFmtId="49" fontId="53" fillId="0" borderId="0" xfId="0" applyFont="1" applyNumberFormat="1">
      <alignment vertical="center" wrapText="1"/>
    </xf>
    <xf numFmtId="49" fontId="104" fillId="0" borderId="0" xfId="0" applyFont="1" applyNumberFormat="1">
      <alignment vertical="center"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4" xfId="0" applyFont="1" applyBorder="1" applyNumberFormat="1">
      <alignment horizontal="left" vertical="top" wrapText="1"/>
    </xf>
    <xf numFmtId="3" fontId="23" fillId="42" borderId="16" xfId="0" applyFont="1" applyFill="1" applyBorder="1" applyNumberFormat="1">
      <alignment vertical="center" wrapText="1"/>
      <protection locked="0"/>
    </xf>
    <xf numFmtId="0" fontId="23" fillId="0" borderId="14" xfId="0" applyFont="1" applyBorder="1" applyNumberFormat="1">
      <alignment vertical="top" wrapText="1"/>
    </xf>
    <xf numFmtId="0" fontId="23" fillId="0" borderId="14" xfId="0" applyFont="1" applyBorder="1" applyNumberFormat="1">
      <alignment horizontal="left" vertical="top" wrapText="1"/>
    </xf>
    <xf numFmtId="4" fontId="23" fillId="38" borderId="16" xfId="0" applyFont="1" applyFill="1" applyBorder="1" applyNumberFormat="1">
      <alignment horizontal="right" vertical="center" wrapText="1"/>
    </xf>
    <xf numFmtId="0" fontId="54" fillId="0" borderId="14" xfId="0" applyFont="1" applyBorder="1" applyNumberFormat="1">
      <alignment vertical="top" wrapText="1"/>
    </xf>
    <xf numFmtId="0" fontId="45" fillId="0" borderId="0" xfId="0" applyFont="1" applyNumberFormat="1">
      <alignment horizontal="center" vertical="center" wrapText="1"/>
    </xf>
    <xf numFmtId="49" fontId="23" fillId="42" borderId="14"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7"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0"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4" fillId="37" borderId="0" xfId="0" applyFont="1" applyFill="1" applyNumberFormat="1">
      <alignment horizontal="center" vertical="center" wrapText="1"/>
    </xf>
    <xf numFmtId="49" fontId="23" fillId="0" borderId="0" xfId="0" applyFont="1" applyNumberFormat="1">
      <alignment vertical="top"/>
    </xf>
    <xf numFmtId="49" fontId="0" fillId="37" borderId="14" xfId="0" applyFont="1" applyFill="1" applyBorder="1" applyNumberFormat="1">
      <alignment horizontal="center" vertical="center" wrapText="1"/>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34" fillId="42" borderId="14" xfId="0" applyFont="1" applyFill="1" applyBorder="1" applyNumberFormat="1">
      <alignment horizontal="left" vertical="center" wrapText="1"/>
      <protection locked="0"/>
    </xf>
    <xf numFmtId="0"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49" fontId="52" fillId="40" borderId="15"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47" fillId="37" borderId="0" xfId="0" applyFont="1" applyFill="1" applyNumberFormat="1">
      <alignment vertical="center" wrapText="1"/>
    </xf>
    <xf numFmtId="49" fontId="52" fillId="40" borderId="17" xfId="0" applyFont="1" applyFill="1" applyBorder="1" applyNumberFormat="1">
      <alignment horizontal="center" vertical="top"/>
    </xf>
    <xf numFmtId="0" fontId="55" fillId="0" borderId="0" xfId="0" applyFont="1" applyNumberFormat="1">
      <alignment vertical="center"/>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49" fontId="72" fillId="0" borderId="14" xfId="0" applyFont="1" applyBorder="1" applyNumberFormat="1">
      <alignment horizontal="center" vertical="center" wrapText="1"/>
    </xf>
    <xf numFmtId="0" fontId="72" fillId="0" borderId="14" xfId="0" applyFont="1" applyBorder="1" applyNumberFormat="1">
      <alignment horizontal="left" vertical="center" wrapText="1" indent="2"/>
    </xf>
    <xf numFmtId="49" fontId="75" fillId="0" borderId="16" xfId="0" applyFont="1" applyBorder="1" applyNumberFormat="1">
      <alignment horizontal="left" vertical="center" wrapText="1"/>
    </xf>
    <xf numFmtId="0" fontId="23" fillId="0" borderId="19" xfId="0" applyFont="1" applyBorder="1" applyNumberFormat="1">
      <alignment vertical="top" wrapText="1"/>
    </xf>
    <xf numFmtId="49" fontId="48" fillId="40" borderId="17" xfId="0" applyFont="1" applyFill="1" applyBorder="1" applyNumberFormat="1">
      <alignment horizontal="left" vertical="center" indent="1"/>
    </xf>
    <xf numFmtId="0" fontId="23" fillId="0" borderId="25" xfId="0" applyFont="1" applyBorder="1" applyNumberFormat="1">
      <alignment vertical="top"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4" fillId="0" borderId="0" xfId="0" applyFont="1" applyNumberFormat="1">
      <alignment vertical="center" wrapText="1"/>
    </xf>
    <xf numFmtId="0" fontId="47" fillId="0" borderId="0" xfId="0" applyFont="1" applyNumberFormat="1">
      <alignment vertical="center" wrapText="1"/>
    </xf>
    <xf numFmtId="49" fontId="54" fillId="0" borderId="0" xfId="0" applyFont="1" applyNumberFormat="1">
      <alignment vertical="top"/>
    </xf>
    <xf numFmtId="49" fontId="126" fillId="0" borderId="0" xfId="0" applyFont="1" applyNumberFormat="1">
      <alignment horizontal="center" vertical="center" wrapText="1"/>
    </xf>
    <xf numFmtId="0" fontId="0" fillId="42" borderId="14" xfId="0" applyFont="1" applyFill="1" applyBorder="1" applyNumberFormat="1">
      <alignment horizontal="left" vertical="center" wrapText="1" indent="1"/>
      <protection locked="0"/>
    </xf>
    <xf numFmtId="49" fontId="34" fillId="42" borderId="14" xfId="0" applyFont="1" applyFill="1" applyBorder="1" applyNumberFormat="1">
      <alignment horizontal="left" vertical="center" wrapText="1"/>
      <protection locked="0"/>
    </xf>
    <xf numFmtId="0" fontId="47" fillId="0" borderId="0" xfId="0" applyFont="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0" fillId="0" borderId="14" xfId="0" applyFont="1" applyBorder="1" applyNumberFormat="1">
      <alignment horizontal="left" vertical="center" wrapText="1"/>
    </xf>
    <xf numFmtId="167" fontId="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0" fillId="0" borderId="14" xfId="0" applyFont="1" applyBorder="1" applyNumberFormat="1">
      <alignment horizontal="left"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4" xfId="0" applyFont="1" applyBorder="1" applyNumberFormat="1">
      <alignment vertical="top" wrapText="1"/>
    </xf>
    <xf numFmtId="49" fontId="48" fillId="40" borderId="17" xfId="0" applyFont="1" applyFill="1" applyBorder="1" applyNumberFormat="1">
      <alignment horizontal="left" vertical="center" indent="2"/>
    </xf>
    <xf numFmtId="49" fontId="48" fillId="40" borderId="17" xfId="0" applyFont="1" applyFill="1" applyBorder="1" applyNumberFormat="1">
      <alignment horizontal="left" vertical="center" indent="3"/>
    </xf>
    <xf numFmtId="49" fontId="23" fillId="43" borderId="14" xfId="0" applyFont="1" applyFill="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5" xfId="0" applyFont="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49" fontId="52" fillId="40" borderId="15" xfId="0" applyFont="1" applyFill="1" applyBorder="1" applyNumberFormat="1">
      <alignment horizontal="center" vertical="top"/>
    </xf>
    <xf numFmtId="0" fontId="0" fillId="0" borderId="15"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4" xfId="0" applyFont="1" applyBorder="1" applyNumberFormat="1">
      <alignment horizontal="center" vertical="center" wrapText="1"/>
    </xf>
    <xf numFmtId="0" fontId="23" fillId="0" borderId="17" xfId="0" applyFont="1" applyBorder="1" applyNumberFormat="1">
      <alignment horizontal="left" vertical="top" wrapText="1" indent="1"/>
    </xf>
    <xf numFmtId="0" fontId="22" fillId="0" borderId="0" xfId="0" applyFont="1" applyNumberFormat="1">
      <alignment vertical="center" wrapText="1"/>
    </xf>
    <xf numFmtId="0" fontId="0" fillId="37" borderId="16" xfId="0" applyFont="1" applyFill="1" applyBorder="1" applyNumberFormat="1">
      <alignment horizontal="right" vertical="center" wrapText="1" indent="1"/>
    </xf>
    <xf numFmtId="0" fontId="76" fillId="0" borderId="0" xfId="0" applyFont="1" applyNumberFormat="1">
      <alignment vertical="center" wrapText="1"/>
    </xf>
    <xf numFmtId="49" fontId="44" fillId="37" borderId="0" xfId="0" applyFont="1" applyFill="1" applyNumberFormat="1">
      <alignment horizontal="center" vertical="center" wrapText="1"/>
    </xf>
    <xf numFmtId="49" fontId="44" fillId="37" borderId="21" xfId="0" applyFont="1" applyFill="1" applyBorder="1" applyNumberFormat="1">
      <alignment horizontal="center" vertical="center" wrapText="1"/>
    </xf>
    <xf numFmtId="49" fontId="0" fillId="37" borderId="19"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23" fillId="0" borderId="14" xfId="0" applyFont="1" applyBorder="1" applyNumberFormat="1">
      <alignment horizontal="left" vertical="center" wrapText="1"/>
    </xf>
    <xf numFmtId="0" fontId="47" fillId="37" borderId="0" xfId="0" applyFont="1" applyFill="1" applyNumberFormat="1">
      <alignment horizontal="center" vertical="top" wrapText="1"/>
    </xf>
    <xf numFmtId="0" fontId="0" fillId="38" borderId="16" xfId="0" applyFont="1" applyFill="1" applyBorder="1" applyNumberFormat="1">
      <alignment horizontal="left" vertical="center" wrapText="1" indent="1"/>
    </xf>
    <xf numFmtId="0" fontId="0" fillId="0" borderId="15" xfId="0" applyFont="1" applyBorder="1" applyNumberFormat="1">
      <alignment horizontal="center" vertical="center" wrapText="1"/>
    </xf>
    <xf numFmtId="0" fontId="0" fillId="0" borderId="15" xfId="0" applyFont="1" applyBorder="1" applyNumberFormat="1">
      <alignment horizontal="center" vertical="center" wrapText="1"/>
    </xf>
    <xf numFmtId="49" fontId="48" fillId="40" borderId="29" xfId="0" applyFont="1" applyFill="1" applyBorder="1" applyNumberFormat="1">
      <alignment horizontal="left" vertical="center" indent="2"/>
    </xf>
    <xf numFmtId="49" fontId="48" fillId="40" borderId="17" xfId="0" applyFont="1" applyFill="1" applyBorder="1" applyNumberFormat="1">
      <alignment horizontal="left" vertical="center"/>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23" fillId="0" borderId="0" xfId="0" applyFont="1" applyNumberFormat="1">
      <alignment vertical="top" wrapText="1"/>
    </xf>
    <xf numFmtId="0" fontId="47" fillId="0" borderId="0" xfId="0" applyFont="1" applyNumberFormat="1">
      <alignment vertical="center" wrapText="1"/>
    </xf>
    <xf numFmtId="0" fontId="23" fillId="0" borderId="38" xfId="0" applyFont="1" applyBorder="1" applyNumberFormat="1">
      <alignment vertical="center" wrapText="1"/>
    </xf>
    <xf numFmtId="0" fontId="0" fillId="38" borderId="14" xfId="0" applyFont="1" applyFill="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0" fontId="76" fillId="0" borderId="0" xfId="0" applyFont="1" applyNumberFormat="1">
      <alignment vertical="center" wrapText="1"/>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0" fontId="23" fillId="0" borderId="14" xfId="0" applyFont="1" applyBorder="1" applyNumberFormat="1">
      <alignment vertical="top" wrapText="1"/>
    </xf>
    <xf numFmtId="49" fontId="0" fillId="37" borderId="16" xfId="0" applyFont="1" applyFill="1" applyBorder="1" applyNumberFormat="1">
      <alignment horizontal="center" vertical="center" wrapText="1"/>
    </xf>
    <xf numFmtId="0" fontId="23" fillId="0" borderId="38" xfId="0" applyFont="1" applyBorder="1" applyNumberFormat="1">
      <alignment horizontal="left" vertical="top" wrapText="1"/>
    </xf>
    <xf numFmtId="4" fontId="0" fillId="42" borderId="14" xfId="0" applyFont="1" applyFill="1" applyBorder="1" applyNumberFormat="1">
      <alignment horizontal="right" vertical="center" wrapText="1"/>
      <protection locked="0"/>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23" fillId="0" borderId="0" xfId="0" applyFont="1" applyNumberFormat="1">
      <alignment vertical="top"/>
    </xf>
    <xf numFmtId="49" fontId="23" fillId="0" borderId="21"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5" fillId="0" borderId="0" xfId="0" applyFont="1" applyNumberFormat="1">
      <alignment vertical="center"/>
    </xf>
    <xf numFmtId="49" fontId="23" fillId="0" borderId="0" xfId="0" applyFont="1" applyNumberFormat="1">
      <alignment vertical="top"/>
    </xf>
    <xf numFmtId="49" fontId="0" fillId="42" borderId="14" xfId="0" applyFont="1" applyFill="1" applyBorder="1" applyNumberFormat="1">
      <alignment horizontal="left" vertical="center" wrapText="1" indent="1"/>
      <protection locked="0"/>
    </xf>
    <xf numFmtId="0" fontId="23" fillId="0" borderId="0" xfId="0" applyFont="1" applyNumberFormat="1">
      <alignment vertical="center" wrapText="1"/>
    </xf>
    <xf numFmtId="0" fontId="69" fillId="0" borderId="0" xfId="0" applyFont="1" applyNumberFormat="1">
      <alignment vertical="center" wrapText="1"/>
    </xf>
    <xf numFmtId="0" fontId="23" fillId="37" borderId="14" xfId="0" applyFont="1" applyFill="1" applyBorder="1" applyNumberFormat="1">
      <alignment horizontal="center" vertical="center" wrapText="1"/>
    </xf>
    <xf numFmtId="0" fontId="0" fillId="0" borderId="14" xfId="0" applyFont="1" applyBorder="1" applyNumberFormat="1">
      <alignment horizontal="left" vertical="top"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0" borderId="21" xfId="0" applyFont="1" applyBorder="1" applyNumberFormat="1">
      <alignment vertical="center" wrapText="1"/>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49" fontId="23" fillId="0" borderId="0" xfId="0" applyFont="1" applyNumberFormat="1">
      <alignment vertical="center" wrapText="1"/>
    </xf>
    <xf numFmtId="0" fontId="88"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0" borderId="14" xfId="0" applyFont="1" applyBorder="1" applyNumberFormat="1">
      <alignment horizontal="center" vertical="center" wrapText="1"/>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40" fillId="49" borderId="0" xfId="0" applyFont="1" applyFill="1" applyNumberFormat="1">
      <alignment horizontal="center" vertical="center"/>
    </xf>
    <xf numFmtId="49" fontId="23" fillId="0" borderId="14" xfId="0" applyFont="1" applyBorder="1" applyNumberFormat="1">
      <alignment horizontal="center" vertical="top"/>
    </xf>
    <xf numFmtId="49" fontId="54" fillId="49" borderId="0" xfId="0" applyFont="1" applyFill="1" applyNumberFormat="1">
      <alignment horizontal="center" vertical="center" wrapText="1"/>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23" fillId="0" borderId="16" xfId="0" applyFont="1" applyBorder="1" applyNumberFormat="1">
      <alignment horizontal="left" vertical="center"/>
    </xf>
    <xf numFmtId="49" fontId="23" fillId="0" borderId="46" xfId="0" applyFont="1" applyBorder="1" applyNumberFormat="1">
      <alignment vertical="center"/>
    </xf>
    <xf numFmtId="49" fontId="23" fillId="0" borderId="47" xfId="0" applyFont="1" applyBorder="1" applyNumberFormat="1">
      <alignment vertical="top"/>
    </xf>
    <xf numFmtId="49" fontId="23" fillId="0" borderId="18"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0" fontId="0" fillId="50" borderId="0" xfId="0" applyFont="1" applyFill="1" applyNumberFormat="1">
      <alignment horizontal="right" vertical="center"/>
    </xf>
    <xf numFmtId="49" fontId="40" fillId="0" borderId="0" xfId="0" applyFont="1" applyNumberFormat="1">
      <alignment horizontal="center" vertical="center"/>
    </xf>
    <xf numFmtId="49" fontId="0" fillId="0" borderId="0" xfId="0" applyFont="1" applyNumberFormat="1">
      <alignment vertical="top"/>
    </xf>
    <xf numFmtId="49" fontId="40" fillId="49" borderId="0" xfId="0" applyFont="1" applyFill="1" applyNumberFormat="1">
      <alignment horizontal="center" vertical="center"/>
    </xf>
    <xf numFmtId="0" fontId="23" fillId="0" borderId="0" xfId="0" applyFont="1" applyNumberFormat="1">
      <alignment vertical="center"/>
    </xf>
    <xf numFmtId="0" fontId="0" fillId="50"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6" xfId="0" applyFont="1" applyBorder="1" applyNumberFormat="1">
      <alignment vertical="top"/>
    </xf>
    <xf numFmtId="0" fontId="0" fillId="50" borderId="0" xfId="0" applyFont="1" applyFill="1" applyNumberFormat="1">
      <alignment horizontal="right" vertical="center"/>
    </xf>
    <xf numFmtId="0" fontId="0" fillId="0" borderId="0" xfId="0" applyFont="1" applyNumberFormat="1">
      <alignment horizontal="left" vertical="center"/>
    </xf>
    <xf numFmtId="0" fontId="0" fillId="50" borderId="0" xfId="0" applyFont="1" applyFill="1" applyNumberFormat="1">
      <alignment horizontal="right" vertical="center"/>
    </xf>
    <xf numFmtId="0" fontId="0" fillId="50" borderId="0" xfId="0" applyFont="1" applyFill="1" applyNumberFormat="1">
      <alignment horizontal="left" vertical="center"/>
    </xf>
    <xf numFmtId="0" fontId="59" fillId="50"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9" fillId="0" borderId="0" xfId="0" applyFont="1" applyNumberFormat="1">
      <alignment horizontal="left" vertical="center"/>
    </xf>
    <xf numFmtId="49" fontId="0" fillId="0" borderId="16" xfId="0" applyFont="1" applyBorder="1" applyNumberFormat="1">
      <alignment vertical="top"/>
    </xf>
    <xf numFmtId="49" fontId="23" fillId="0" borderId="14" xfId="0" applyFont="1" applyBorder="1" applyNumberFormat="1">
      <alignment horizontal="right" vertical="top"/>
    </xf>
    <xf numFmtId="0" fontId="0" fillId="0" borderId="16" xfId="0" applyFont="1" applyBorder="1" applyNumberFormat="1">
      <alignment horizontal="left" vertical="center"/>
    </xf>
    <xf numFmtId="0" fontId="59" fillId="50" borderId="0" xfId="0" applyFont="1" applyFill="1" applyNumberFormat="1">
      <alignment horizontal="left" vertical="center"/>
    </xf>
    <xf numFmtId="49" fontId="23" fillId="0" borderId="19" xfId="0" applyFont="1" applyBorder="1" applyNumberFormat="1">
      <alignment horizontal="righ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14" xfId="0" applyFont="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0" fontId="23" fillId="50" borderId="0" xfId="0" applyFont="1" applyFill="1" applyNumberFormat="1">
      <alignment horizontal="left" vertical="center"/>
    </xf>
    <xf numFmtId="0" fontId="0" fillId="50" borderId="12" xfId="0" applyFont="1" applyFill="1" applyBorder="1" applyNumberFormat="1">
      <alignment horizontal="center"/>
    </xf>
    <xf numFmtId="49" fontId="109" fillId="0" borderId="18" xfId="0" applyFont="1" applyBorder="1" applyNumberFormat="1">
      <alignment vertical="top"/>
    </xf>
    <xf numFmtId="49" fontId="0" fillId="0" borderId="0" xfId="0" applyFont="1" applyNumberFormat="1">
      <alignment vertical="center"/>
    </xf>
    <xf numFmtId="49" fontId="53" fillId="56" borderId="0" xfId="0" applyFont="1" applyFill="1" applyNumberFormat="1">
      <alignment vertical="center" wrapText="1"/>
    </xf>
    <xf numFmtId="0" fontId="0" fillId="0" borderId="12" xfId="0" applyFont="1" applyBorder="1" applyNumberFormat="1">
      <alignment horizontal="center"/>
    </xf>
    <xf numFmtId="49" fontId="23" fillId="50" borderId="0" xfId="0" applyFont="1" applyFill="1" applyNumberFormat="1">
      <alignment horizontal="center" vertical="center"/>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0" fontId="0" fillId="34" borderId="14" xfId="0" applyFont="1" applyFill="1" applyBorder="1" applyNumberFormat="1">
      <alignment horizontal="right" vertical="center"/>
    </xf>
    <xf numFmtId="49" fontId="23" fillId="34" borderId="25" xfId="0" applyFont="1" applyFill="1" applyBorder="1" applyNumberFormat="1">
      <alignment vertical="top"/>
    </xf>
    <xf numFmtId="49" fontId="23" fillId="34" borderId="14" xfId="0" applyFont="1" applyFill="1" applyBorder="1" applyNumberFormat="1">
      <alignment vertical="top"/>
    </xf>
    <xf numFmtId="49" fontId="23" fillId="0" borderId="16" xfId="0" applyFont="1" applyBorder="1" applyNumberFormat="1">
      <alignment horizontal="center" vertical="top"/>
    </xf>
    <xf numFmtId="49" fontId="23" fillId="0" borderId="15" xfId="0" applyFont="1" applyBorder="1" applyNumberFormat="1">
      <alignment horizontal="center" vertical="top"/>
    </xf>
    <xf numFmtId="0" fontId="23" fillId="38" borderId="32" xfId="0" applyFont="1" applyFill="1" applyBorder="1" applyNumberFormat="1">
      <alignment horizontal="center" vertical="top"/>
    </xf>
    <xf numFmtId="0" fontId="23" fillId="38" borderId="32" xfId="0" applyFont="1" applyFill="1" applyBorder="1" applyNumberFormat="1">
      <alignment horizontal="left" vertical="top"/>
    </xf>
    <xf numFmtId="0" fontId="0" fillId="0" borderId="34" xfId="0" applyFont="1" applyBorder="1" applyNumberFormat="1">
      <alignment horizontal="center" vertical="center"/>
    </xf>
    <xf numFmtId="0" fontId="0" fillId="0" borderId="36" xfId="0" applyFont="1" applyBorder="1" applyNumberFormat="1">
      <alignment horizontal="center" vertical="center"/>
    </xf>
    <xf numFmtId="0" fontId="23" fillId="0" borderId="14" xfId="0" applyFont="1" applyBorder="1" applyNumberFormat="1">
      <alignment horizontal="left" vertical="top"/>
    </xf>
    <xf numFmtId="49" fontId="23" fillId="0" borderId="0" xfId="0" applyFont="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49" fontId="40" fillId="49" borderId="16" xfId="0" applyFont="1" applyFill="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50"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0" fontId="23" fillId="42" borderId="14" xfId="0" applyFont="1" applyFill="1" applyBorder="1" applyNumberFormat="1">
      <alignment horizontal="center" vertical="center" wrapText="1"/>
      <protection locked="0"/>
    </xf>
    <xf numFmtId="0" fontId="54" fillId="37" borderId="0" xfId="0" applyFont="1" applyFill="1" applyNumberFormat="1"/>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8" borderId="14" xfId="0" applyFont="1" applyFill="1" applyBorder="1" applyNumberFormat="1">
      <alignment horizontal="left" vertical="center" wrapText="1"/>
    </xf>
    <xf numFmtId="0" fontId="73" fillId="37" borderId="0" xfId="0" applyFont="1" applyFill="1" applyNumberFormat="1"/>
    <xf numFmtId="0" fontId="23" fillId="37" borderId="14" xfId="0" applyFont="1" applyFill="1" applyBorder="1" applyNumberFormat="1">
      <alignment horizontal="left"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0" fontId="55"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0" fillId="37" borderId="19" xfId="0" applyFont="1" applyFill="1" applyBorder="1" applyNumberFormat="1">
      <alignment horizontal="left" vertical="top" wrapText="1"/>
    </xf>
    <xf numFmtId="0" fontId="72" fillId="37" borderId="0" xfId="0" applyFont="1" applyFill="1" applyNumberFormat="1"/>
    <xf numFmtId="0" fontId="77" fillId="37" borderId="0" xfId="0" applyFont="1" applyFill="1" applyNumberFormat="1">
      <alignment vertical="center" wrapText="1"/>
    </xf>
    <xf numFmtId="0" fontId="55" fillId="37" borderId="14" xfId="0" applyFont="1" applyFill="1" applyBorder="1" applyNumberFormat="1">
      <alignment horizontal="center" vertical="center"/>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0" fontId="89" fillId="37" borderId="0" xfId="0" applyFont="1" applyFill="1" applyNumberFormat="1"/>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0" fontId="23" fillId="37" borderId="14" xfId="0" applyFont="1" applyFill="1" applyBorder="1" applyNumberFormat="1">
      <alignmen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14" fontId="23" fillId="42" borderId="14" xfId="0" applyFont="1" applyFill="1" applyBorder="1" applyNumberFormat="1">
      <alignment horizontal="left" vertical="center" wrapText="1" indent="1"/>
      <protection locked="0"/>
    </xf>
    <xf numFmtId="0" fontId="117" fillId="0" borderId="0" xfId="0" applyFont="1" applyNumberFormat="1">
      <alignment vertical="center"/>
    </xf>
    <xf numFmtId="0" fontId="45" fillId="0" borderId="0" xfId="0" applyFont="1" applyNumberFormat="1">
      <alignment horizontal="center" vertical="center" wrapText="1"/>
    </xf>
    <xf numFmtId="4" fontId="23" fillId="0" borderId="19" xfId="0" applyFont="1" applyBorder="1" applyNumberFormat="1">
      <alignment horizontal="center" vertical="center" wrapText="1"/>
    </xf>
    <xf numFmtId="165" fontId="23" fillId="0" borderId="39" xfId="0" applyFont="1" applyBorder="1" applyNumberFormat="1">
      <alignment horizontal="center" vertical="center" wrapText="1"/>
    </xf>
    <xf numFmtId="165"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14" fontId="23" fillId="43" borderId="14" xfId="0" applyFont="1" applyFill="1" applyBorder="1" applyNumberFormat="1">
      <alignment horizontal="left"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31" xfId="0" applyFont="1" applyFill="1" applyBorder="1" applyNumberFormat="1">
      <alignment horizontal="right" vertical="center" wrapText="1"/>
    </xf>
    <xf numFmtId="0" fontId="117" fillId="0" borderId="0" xfId="0" applyFont="1" applyNumberFormat="1">
      <alignment vertical="center" wrapText="1"/>
    </xf>
    <xf numFmtId="49" fontId="0" fillId="0" borderId="0" xfId="0" applyFont="1" applyNumberFormat="1">
      <alignment vertical="top"/>
    </xf>
    <xf numFmtId="0" fontId="55" fillId="0" borderId="0" xfId="0" applyFont="1" applyNumberFormat="1">
      <alignment vertical="center"/>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38" borderId="14" xfId="0" applyFont="1" applyFill="1" applyBorder="1" applyNumberFormat="1">
      <alignment horizontal="left" vertical="center" wrapText="1" indent="1"/>
    </xf>
    <xf numFmtId="167" fontId="0" fillId="42" borderId="17" xfId="0" applyFont="1" applyFill="1" applyBorder="1" applyNumberFormat="1">
      <alignment horizontal="left" vertical="center" wrapText="1" indent="1"/>
      <protection locked="0"/>
    </xf>
    <xf numFmtId="168" fontId="23" fillId="42" borderId="14" xfId="0" applyFont="1" applyFill="1" applyBorder="1" applyNumberFormat="1">
      <alignment horizontal="left" vertical="center" wrapText="1" indent="1"/>
      <protection locked="0"/>
    </xf>
    <xf numFmtId="167" fontId="55" fillId="0" borderId="0" xfId="0" applyFont="1" applyNumberFormat="1">
      <alignment horizontal="center" vertical="center" wrapText="1"/>
    </xf>
    <xf numFmtId="165" fontId="23" fillId="0" borderId="19"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 fontId="23" fillId="0" borderId="38"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25"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25" xfId="0" applyFont="1" applyFill="1" applyBorder="1" applyNumberFormat="1">
      <alignment horizontal="left" vertical="center" wrapText="1" indent="1"/>
    </xf>
    <xf numFmtId="14" fontId="23" fillId="42" borderId="25" xfId="0" applyFont="1" applyFill="1" applyBorder="1" applyNumberFormat="1">
      <alignment horizontal="left" vertical="center" wrapText="1" indent="1"/>
      <protection locked="0"/>
    </xf>
    <xf numFmtId="0" fontId="23" fillId="0" borderId="31" xfId="0" applyFont="1" applyBorder="1" applyNumberFormat="1">
      <alignment horizontal="left" vertical="top" wrapText="1"/>
    </xf>
    <xf numFmtId="49" fontId="0" fillId="0" borderId="0" xfId="0" applyFont="1" applyNumberFormat="1">
      <alignment vertical="top"/>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5" fontId="23" fillId="0" borderId="25" xfId="0" applyFont="1" applyBorder="1" applyNumberFormat="1">
      <alignment horizontal="center" vertical="center" wrapText="1"/>
    </xf>
    <xf numFmtId="0" fontId="23" fillId="0" borderId="25" xfId="0" applyFont="1" applyBorder="1" applyNumberFormat="1">
      <alignment horizontal="left" vertical="center" wrapText="1" indent="1"/>
    </xf>
    <xf numFmtId="14" fontId="23" fillId="0" borderId="25" xfId="0" applyFont="1" applyBorder="1" applyNumberFormat="1">
      <alignment horizontal="left" vertical="center" wrapText="1" indent="1"/>
    </xf>
    <xf numFmtId="0" fontId="45" fillId="0" borderId="0" xfId="0" applyFont="1" applyNumberFormat="1">
      <alignment horizontal="center" vertical="center" wrapText="1"/>
    </xf>
    <xf numFmtId="0" fontId="55" fillId="0" borderId="0" xfId="0" applyFont="1" applyNumberFormat="1">
      <alignment vertical="center"/>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34" fillId="40" borderId="29" xfId="0" applyFont="1" applyFill="1" applyBorder="1" applyNumberFormat="1">
      <alignment horizontal="left" vertical="center" wrapText="1"/>
    </xf>
    <xf numFmtId="49" fontId="34" fillId="40" borderId="31" xfId="0" applyFont="1" applyFill="1" applyBorder="1" applyNumberFormat="1">
      <alignment horizontal="left" vertical="center" wrapText="1"/>
    </xf>
    <xf numFmtId="0" fontId="23" fillId="37" borderId="38" xfId="0" applyFont="1" applyFill="1" applyBorder="1" applyNumberFormat="1">
      <alignment vertical="center" wrapText="1"/>
    </xf>
    <xf numFmtId="0" fontId="55" fillId="0" borderId="0" xfId="0" applyFont="1" applyNumberFormat="1">
      <alignment horizontal="center"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14"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7" xfId="0" applyFont="1" applyBorder="1" applyNumberFormat="1">
      <alignment horizontal="left" vertical="center" wrapText="1"/>
    </xf>
    <xf numFmtId="0" fontId="50" fillId="0" borderId="0" xfId="0" applyFont="1" applyNumberFormat="1">
      <alignment horizontal="center" vertical="center" wrapText="1"/>
    </xf>
    <xf numFmtId="0" fontId="23" fillId="0" borderId="0" xfId="0" applyFont="1" applyNumberFormat="1">
      <alignment horizontal="center" vertical="center" wrapText="1"/>
    </xf>
    <xf numFmtId="165" fontId="53" fillId="0" borderId="21" xfId="0" applyFont="1" applyBorder="1" applyNumberFormat="1">
      <alignment horizontal="center"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0" fontId="55" fillId="0" borderId="0" xfId="0" applyFont="1" applyNumberFormat="1">
      <alignment horizontal="center" vertical="center"/>
    </xf>
    <xf numFmtId="165" fontId="23" fillId="0" borderId="14" xfId="0" applyFont="1" applyBorder="1" applyNumberFormat="1">
      <alignment horizontal="center"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43" borderId="32" xfId="0" applyFont="1" applyFill="1" applyBorder="1" applyNumberFormat="1">
      <alignment horizontal="left" vertical="center" wrapText="1"/>
    </xf>
    <xf numFmtId="0" fontId="23" fillId="0" borderId="25" xfId="0" applyFont="1" applyBorder="1" applyNumberFormat="1">
      <alignment horizontal="center" vertical="center" wrapText="1"/>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23" fillId="0" borderId="14" xfId="0" applyFont="1" applyBorder="1" applyNumberFormat="1">
      <alignment horizontal="left" vertical="top" wrapText="1"/>
    </xf>
    <xf numFmtId="49" fontId="23" fillId="43" borderId="25" xfId="0" applyFont="1" applyFill="1" applyBorder="1" applyNumberFormat="1">
      <alignment horizontal="left" vertical="center" wrapText="1"/>
    </xf>
    <xf numFmtId="49" fontId="129" fillId="0" borderId="14" xfId="0" applyFont="1" applyBorder="1" applyNumberFormat="1">
      <alignment horizontal="left" vertical="top"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37" borderId="0" xfId="0" applyFont="1" applyFill="1" applyNumberFormat="1"/>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0" fontId="51" fillId="37" borderId="0" xfId="0" applyFont="1" applyFill="1" applyNumberFormat="1">
      <alignment horizontal="center" vertical="center" wrapText="1"/>
    </xf>
    <xf numFmtId="0" fontId="40" fillId="37" borderId="0" xfId="0" applyFont="1" applyFill="1" applyNumberFormat="1"/>
    <xf numFmtId="0" fontId="23" fillId="37" borderId="14" xfId="0" applyFont="1" applyFill="1" applyBorder="1" applyNumberFormat="1">
      <alignment horizontal="center" vertical="center" wrapTex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8" fillId="40" borderId="17" xfId="0" applyFont="1" applyFill="1" applyBorder="1" applyNumberFormat="1">
      <alignment horizontal="left" vertical="center"/>
    </xf>
    <xf numFmtId="49" fontId="52" fillId="40" borderId="17"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5" fillId="0" borderId="0" xfId="0" applyFont="1" applyNumberFormat="1">
      <alignment horizontal="center" vertical="center"/>
    </xf>
    <xf numFmtId="49" fontId="23" fillId="0" borderId="0" xfId="0" applyFont="1" applyNumberFormat="1">
      <alignment vertical="top"/>
    </xf>
    <xf numFmtId="0" fontId="45" fillId="37" borderId="0" xfId="0" applyFont="1" applyFill="1" applyNumberFormat="1">
      <alignment horizontal="center" vertical="center"/>
    </xf>
    <xf numFmtId="0" fontId="23" fillId="37" borderId="0" xfId="0" applyFont="1" applyFill="1" applyNumberFormat="1"/>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0" fontId="69" fillId="0" borderId="0" xfId="0" applyFont="1" applyNumberFormat="1"/>
    <xf numFmtId="0" fontId="23" fillId="0" borderId="14" xfId="0" applyFont="1" applyBorder="1" applyNumberFormat="1">
      <alignment horizontal="center" vertical="center" wrapText="1"/>
    </xf>
    <xf numFmtId="0" fontId="23" fillId="37" borderId="19" xfId="0" applyFont="1" applyFill="1" applyBorder="1" applyNumberFormat="1">
      <alignment horizontal="center" vertical="center"/>
    </xf>
    <xf numFmtId="49" fontId="23" fillId="0" borderId="19" xfId="0" applyFont="1" applyBorder="1" applyNumberFormat="1">
      <alignment horizontal="left"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49" fontId="53" fillId="0" borderId="0" xfId="0" applyFont="1" applyNumberFormat="1">
      <alignment horizontal="right" vertical="top"/>
    </xf>
    <xf numFmtId="49" fontId="23" fillId="0" borderId="0" xfId="0" applyFont="1" applyNumberFormat="1">
      <alignment horizontal="left" vertical="top" wrapText="1"/>
    </xf>
    <xf numFmtId="49" fontId="53" fillId="0" borderId="0" xfId="0" applyFont="1" applyNumberFormat="1">
      <alignment vertical="top"/>
    </xf>
    <xf numFmtId="0" fontId="23" fillId="0" borderId="0" xfId="0" applyFont="1" applyNumberFormat="1"/>
    <xf numFmtId="0" fontId="45" fillId="0" borderId="0" xfId="0" applyFont="1" applyNumberFormat="1">
      <alignment horizontal="center" vertical="center"/>
    </xf>
    <xf numFmtId="0" fontId="23" fillId="0" borderId="0" xfId="0" applyFont="1" applyNumberFormat="1"/>
    <xf numFmtId="49" fontId="23" fillId="0" borderId="14" xfId="0" applyFont="1" applyBorder="1" applyNumberFormat="1">
      <alignment horizontal="left" vertical="center" wrapText="1"/>
    </xf>
    <xf numFmtId="49" fontId="48" fillId="40" borderId="15" xfId="0" applyFont="1" applyFill="1" applyBorder="1" applyNumberFormat="1">
      <alignment horizontal="left" vertical="center"/>
    </xf>
    <xf numFmtId="49" fontId="0" fillId="0" borderId="17" xfId="0" applyFont="1" applyBorder="1" applyNumberFormat="1">
      <alignment horizontal="left" vertical="center" indent="1"/>
    </xf>
    <xf numFmtId="49" fontId="70" fillId="0" borderId="0" xfId="0" applyFont="1" applyNumberFormat="1">
      <alignment vertical="top"/>
    </xf>
    <xf numFmtId="49" fontId="0" fillId="0" borderId="27" xfId="0" applyFont="1" applyBorder="1" applyNumberFormat="1">
      <alignment horizontal="center" vertical="center"/>
    </xf>
    <xf numFmtId="49" fontId="0" fillId="0" borderId="0" xfId="0" applyFont="1" applyNumberFormat="1">
      <alignment vertical="top"/>
    </xf>
    <xf numFmtId="49" fontId="0" fillId="41" borderId="0" xfId="0" applyFont="1" applyFill="1" applyNumberFormat="1">
      <alignment vertical="top"/>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49" fontId="23" fillId="39" borderId="14" xfId="0" applyFont="1" applyFill="1" applyBorder="1" applyNumberFormat="1">
      <alignment horizontal="left" vertical="center" wrapText="1"/>
      <protection locked="0"/>
    </xf>
    <xf numFmtId="0" fontId="50" fillId="0" borderId="0" xfId="0" applyFont="1" applyNumberFormat="1">
      <alignment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14" fontId="23" fillId="43" borderId="14" xfId="0" applyFont="1" applyFill="1" applyBorder="1" applyNumberFormat="1">
      <alignment horizontal="left" vertical="center" wrapText="1" indent="1"/>
    </xf>
    <xf numFmtId="49" fontId="23" fillId="38" borderId="14" xfId="0" applyFont="1" applyFill="1" applyBorder="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0" fillId="0" borderId="0" xfId="0" applyFont="1" applyNumberFormat="1">
      <alignment vertical="center"/>
    </xf>
    <xf numFmtId="0" fontId="44" fillId="0" borderId="26" xfId="0" applyFont="1" applyBorder="1" applyNumberFormat="1">
      <alignment horizontal="center" vertical="center" wrapText="1"/>
    </xf>
    <xf numFmtId="14" fontId="86" fillId="0" borderId="19" xfId="0" applyFont="1" applyBorder="1" applyNumberFormat="1">
      <alignment horizontal="center" vertical="center" wrapText="1"/>
    </xf>
    <xf numFmtId="0" fontId="80" fillId="0" borderId="14" xfId="0" applyFont="1" applyBorder="1" applyNumberFormat="1">
      <alignment horizontal="left" vertical="center" wrapText="1" indent="1"/>
    </xf>
    <xf numFmtId="0" fontId="86"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0" fontId="79" fillId="0" borderId="0" xfId="0" applyFont="1" applyNumberFormat="1">
      <alignment vertical="center"/>
    </xf>
    <xf numFmtId="14" fontId="86" fillId="0" borderId="38" xfId="0" applyFont="1" applyBorder="1" applyNumberFormat="1">
      <alignment horizontal="center" vertical="center" wrapText="1"/>
    </xf>
    <xf numFmtId="0" fontId="80" fillId="0" borderId="14" xfId="0" applyFont="1" applyBorder="1" applyNumberFormat="1">
      <alignment horizontal="left" vertical="top" indent="1"/>
    </xf>
    <xf numFmtId="49" fontId="0" fillId="0" borderId="14" xfId="0" applyFont="1" applyBorder="1" applyNumberFormat="1">
      <alignment vertical="top"/>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44" fillId="0" borderId="14" xfId="0" applyFont="1" applyBorder="1" applyNumberFormat="1">
      <alignment horizontal="center" vertical="center" wrapText="1"/>
    </xf>
    <xf numFmtId="49" fontId="23" fillId="0" borderId="15"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3" borderId="16" xfId="0" applyFont="1" applyFill="1" applyBorder="1" applyNumberFormat="1">
      <alignment horizontal="left" vertical="center" wrapText="1"/>
    </xf>
    <xf numFmtId="49" fontId="0" fillId="0" borderId="14" xfId="0" applyFont="1" applyBorder="1" applyNumberFormat="1">
      <alignment vertical="top"/>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0" fillId="0" borderId="0" xfId="0" applyFont="1" applyNumberFormat="1">
      <alignment vertical="top"/>
    </xf>
    <xf numFmtId="49" fontId="23" fillId="0" borderId="0" xfId="0" applyFont="1" applyNumberFormat="1">
      <alignment vertical="top"/>
    </xf>
    <xf numFmtId="0" fontId="45" fillId="37" borderId="0" xfId="0" applyFont="1" applyFill="1" applyNumberFormat="1">
      <alignment vertical="top" wrapText="1"/>
    </xf>
    <xf numFmtId="0" fontId="23" fillId="37" borderId="16" xfId="0" applyFont="1" applyFill="1" applyBorder="1" applyNumberFormat="1">
      <alignment horizontal="center" vertical="center" wrapText="1"/>
    </xf>
    <xf numFmtId="0" fontId="55" fillId="37" borderId="14" xfId="0" applyFont="1" applyFill="1" applyBorder="1" applyNumberFormat="1">
      <alignment horizontal="center" vertical="center" wrapText="1"/>
    </xf>
    <xf numFmtId="14" fontId="23" fillId="43" borderId="31" xfId="0" applyFont="1" applyFill="1" applyBorder="1" applyNumberFormat="1">
      <alignment horizontal="left" vertical="center" wrapText="1"/>
    </xf>
    <xf numFmtId="49" fontId="127" fillId="42" borderId="14" xfId="0" applyFont="1" applyFill="1" applyBorder="1" applyNumberFormat="1">
      <alignment horizontal="left" vertical="center" wrapText="1"/>
      <protection locked="0"/>
    </xf>
    <xf numFmtId="49" fontId="0" fillId="0" borderId="14" xfId="0" applyFont="1" applyBorder="1" applyNumberFormat="1">
      <alignment horizontal="center" vertical="center" wrapText="1"/>
    </xf>
    <xf numFmtId="0" fontId="23" fillId="43" borderId="16" xfId="0" applyFont="1" applyFill="1" applyBorder="1" applyNumberFormat="1">
      <alignment horizontal="left" vertical="center" wrapText="1"/>
    </xf>
    <xf numFmtId="0" fontId="0" fillId="0" borderId="25" xfId="0" applyFont="1" applyBorder="1" applyNumberFormat="1">
      <alignment horizontal="center" vertical="center" wrapText="1"/>
    </xf>
    <xf numFmtId="49" fontId="23" fillId="0" borderId="0" xfId="0" applyFont="1" applyNumberFormat="1">
      <alignment vertical="top"/>
    </xf>
    <xf numFmtId="49" fontId="4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49"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45" fillId="0" borderId="26" xfId="0" applyFont="1" applyBorder="1" applyNumberFormat="1">
      <alignment horizontal="center" vertical="center" wrapTex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2" borderId="14" xfId="0" applyFont="1" applyFill="1" applyBorder="1" applyNumberFormat="1">
      <alignment horizontal="left" vertical="top" wrapText="1"/>
      <protection locked="0"/>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0" fontId="23" fillId="39" borderId="14" xfId="0" applyFont="1" applyFill="1" applyBorder="1" applyNumberFormat="1">
      <alignment horizontal="left" vertical="top" wrapText="1"/>
      <protection locked="0"/>
    </xf>
    <xf numFmtId="49" fontId="23" fillId="43" borderId="14" xfId="0" applyFont="1" applyFill="1" applyBorder="1" applyNumberFormat="1">
      <alignment horizontal="center" vertical="top" wrapText="1"/>
    </xf>
    <xf numFmtId="0" fontId="23" fillId="0" borderId="38" xfId="0" applyFont="1" applyBorder="1" applyNumberFormat="1">
      <alignment horizontal="center" vertical="center" wrapText="1"/>
    </xf>
    <xf numFmtId="0" fontId="23"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1"/>
      <protection locked="0"/>
    </xf>
    <xf numFmtId="0" fontId="23" fillId="0" borderId="26" xfId="0" applyFont="1" applyBorder="1" applyNumberFormat="1">
      <alignment vertical="top" wrapText="1"/>
    </xf>
    <xf numFmtId="49" fontId="23" fillId="43" borderId="25" xfId="0" applyFont="1" applyFill="1" applyBorder="1" applyNumberFormat="1">
      <alignment horizontal="center" vertical="top" wrapText="1"/>
    </xf>
    <xf numFmtId="49" fontId="0" fillId="42"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6" xfId="0" applyFont="1" applyFill="1" applyBorder="1" applyNumberFormat="1">
      <alignment horizontal="center" vertical="top" wrapText="1"/>
    </xf>
    <xf numFmtId="49" fontId="23" fillId="0" borderId="38" xfId="0" applyFont="1" applyBorder="1" applyNumberFormat="1">
      <alignment horizontal="center" vertical="top" wrapText="1"/>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0" borderId="40" xfId="0" applyFont="1" applyBorder="1" applyNumberFormat="1">
      <alignment vertical="center" wrapText="1"/>
    </xf>
    <xf numFmtId="49" fontId="23" fillId="38" borderId="14" xfId="0" applyFont="1" applyFill="1" applyBorder="1" applyNumberFormat="1">
      <alignment horizontal="center" vertical="center" wrapText="1"/>
    </xf>
    <xf numFmtId="49" fontId="23" fillId="0" borderId="15" xfId="0" applyFont="1" applyBorder="1" applyNumberFormat="1">
      <alignment horizontal="center" vertical="center" wrapText="1"/>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23" fillId="43" borderId="16" xfId="0" applyFont="1" applyFill="1" applyBorder="1" applyNumberFormat="1">
      <alignment horizontal="center" vertical="center" wrapText="1"/>
    </xf>
    <xf numFmtId="49" fontId="110" fillId="40" borderId="45" xfId="0" applyFont="1" applyFill="1" applyBorder="1" applyNumberFormat="1">
      <alignment horizontal="left" vertical="center" indent="1"/>
    </xf>
    <xf numFmtId="49" fontId="99" fillId="40" borderId="45" xfId="0" applyFont="1" applyFill="1" applyBorder="1" applyNumberFormat="1">
      <alignment horizontal="center" vertical="center"/>
    </xf>
    <xf numFmtId="3" fontId="23" fillId="42" borderId="14" xfId="0" applyFont="1" applyFill="1" applyBorder="1" applyNumberFormat="1">
      <alignment horizontal="center" vertical="center" wrapText="1"/>
      <protection locked="0"/>
    </xf>
    <xf numFmtId="49" fontId="128" fillId="0" borderId="15" xfId="0" applyFont="1" applyBorder="1" applyNumberFormat="1">
      <alignment horizontal="center" vertical="center" wrapText="1"/>
    </xf>
    <xf numFmtId="0" fontId="53" fillId="0" borderId="14" xfId="0" applyFont="1" applyBorder="1" applyNumberFormat="1">
      <alignment horizontal="center" vertical="center"/>
    </xf>
    <xf numFmtId="49" fontId="23" fillId="43" borderId="19"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23" fillId="43" borderId="38" xfId="0" applyFont="1" applyFill="1" applyBorder="1" applyNumberFormat="1">
      <alignment horizontal="left" vertical="center" wrapText="1" indent="1"/>
    </xf>
    <xf numFmtId="49" fontId="23" fillId="38" borderId="14" xfId="0" applyFont="1" applyFill="1" applyBorder="1" applyNumberFormat="1">
      <alignment horizontal="left" vertical="center" wrapText="1"/>
    </xf>
    <xf numFmtId="49" fontId="128" fillId="0" borderId="0" xfId="0" applyFont="1" applyNumberFormat="1">
      <alignment horizontal="center" vertical="top" wrapText="1"/>
    </xf>
    <xf numFmtId="0" fontId="53" fillId="0" borderId="14" xfId="0" applyFont="1" applyBorder="1" applyNumberFormat="1">
      <alignment horizontal="center" vertical="center"/>
    </xf>
    <xf numFmtId="0" fontId="53" fillId="43" borderId="14" xfId="0" applyFont="1" applyFill="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43" borderId="25" xfId="0" applyFont="1" applyFill="1" applyBorder="1" applyNumberFormat="1">
      <alignment horizontal="left" vertical="center" wrapText="1" indent="1"/>
    </xf>
    <xf numFmtId="49" fontId="48" fillId="40" borderId="17" xfId="0" applyFont="1" applyFill="1" applyBorder="1" applyNumberFormat="1">
      <alignment horizontal="left" vertical="center" inden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49" fontId="23" fillId="38" borderId="77" xfId="0" applyFont="1" applyFill="1" applyBorder="1" applyNumberFormat="1">
      <alignment horizontal="center" vertical="center" wrapText="1"/>
    </xf>
    <xf numFmtId="0" fontId="0" fillId="40" borderId="52" xfId="0" applyFont="1" applyFill="1" applyBorder="1" applyNumberFormat="1">
      <alignment horizontal="left" vertical="center"/>
    </xf>
    <xf numFmtId="49" fontId="48" fillId="40" borderId="53" xfId="0" applyFont="1" applyFill="1" applyBorder="1" applyNumberFormat="1">
      <alignment horizontal="left" vertical="center" inden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0" fontId="23" fillId="40" borderId="55" xfId="0" applyFont="1" applyFill="1" applyBorder="1" applyNumberFormat="1">
      <alignment vertical="center" wrapText="1"/>
    </xf>
    <xf numFmtId="49" fontId="0" fillId="38" borderId="38" xfId="0" applyFont="1" applyFill="1" applyBorder="1" applyNumberFormat="1">
      <alignment vertical="top"/>
    </xf>
    <xf numFmtId="49" fontId="23" fillId="43" borderId="19" xfId="0" applyFont="1" applyFill="1" applyBorder="1" applyNumberFormat="1">
      <alignment vertical="center" wrapText="1"/>
    </xf>
    <xf numFmtId="49" fontId="0" fillId="42" borderId="38" xfId="0" applyFont="1" applyFill="1" applyBorder="1" applyNumberFormat="1">
      <alignment vertical="top"/>
      <protection locked="0"/>
    </xf>
    <xf numFmtId="49" fontId="128" fillId="0" borderId="14" xfId="0" applyFont="1" applyBorder="1" applyNumberFormat="1">
      <alignment horizontal="center" vertical="center" wrapText="1"/>
    </xf>
    <xf numFmtId="49" fontId="0" fillId="42" borderId="19" xfId="0" applyFont="1" applyFill="1" applyBorder="1" applyNumberFormat="1">
      <alignment vertical="top"/>
      <protection locked="0"/>
    </xf>
    <xf numFmtId="14" fontId="23" fillId="43" borderId="38" xfId="0" applyFont="1" applyFill="1" applyBorder="1" applyNumberFormat="1">
      <alignment horizontal="left" vertical="center" wrapText="1" inden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0" fontId="53" fillId="0" borderId="15" xfId="0" applyFont="1" applyBorder="1" applyNumberFormat="1">
      <alignment horizontal="center" vertical="center"/>
    </xf>
    <xf numFmtId="0" fontId="108" fillId="0" borderId="49" xfId="0" applyFont="1" applyBorder="1" applyNumberFormat="1">
      <alignment horizontal="left" vertical="center" indent="1"/>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49" fontId="0" fillId="0" borderId="0" xfId="0" applyFont="1" applyNumberFormat="1">
      <alignment vertical="top"/>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39" borderId="14" xfId="0" applyFont="1" applyFill="1" applyBorder="1" applyNumberFormat="1">
      <alignment horizontal="left" vertical="center"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48" fillId="0" borderId="14" xfId="0" applyFont="1" applyBorder="1" applyNumberFormat="1">
      <alignment horizontal="left" vertical="center" indent="1"/>
    </xf>
    <xf numFmtId="0" fontId="54" fillId="0" borderId="0" xfId="0" applyFont="1" applyNumberFormat="1">
      <alignment horizontal="center" vertical="top"/>
    </xf>
    <xf numFmtId="49" fontId="23" fillId="0" borderId="25" xfId="0" applyFont="1" applyBorder="1" applyNumberFormat="1">
      <alignment horizontal="center" vertical="center" wrapText="1"/>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49" fontId="55" fillId="0" borderId="15" xfId="0" applyFont="1" applyBorder="1" applyNumberFormat="1">
      <alignment horizontal="left" vertical="center" indent="1"/>
    </xf>
    <xf numFmtId="0" fontId="55" fillId="0" borderId="14" xfId="0" applyFont="1" applyBorder="1" applyNumberFormat="1">
      <alignment horizontal="left" vertical="center" indent="1"/>
    </xf>
    <xf numFmtId="49" fontId="0" fillId="0" borderId="21" xfId="0" applyFont="1" applyBorder="1" applyNumberFormat="1">
      <alignment vertical="top"/>
    </xf>
    <xf numFmtId="49" fontId="45" fillId="0" borderId="19"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0" fillId="0" borderId="15" xfId="0" applyFont="1" applyBorder="1" applyNumberFormat="1">
      <alignment horizontal="center" vertical="center" wrapText="1"/>
    </xf>
    <xf numFmtId="0" fontId="0" fillId="0" borderId="14" xfId="0" applyFont="1" applyBorder="1" applyNumberFormat="1">
      <alignment horizontal="left" vertical="center" wrapText="1"/>
    </xf>
    <xf numFmtId="49" fontId="0" fillId="0" borderId="14" xfId="0" applyFont="1" applyBorder="1" applyNumberFormat="1">
      <alignment horizontal="center" vertical="center"/>
    </xf>
    <xf numFmtId="0" fontId="0" fillId="0" borderId="14" xfId="0" applyFont="1" applyBorder="1" applyNumberFormat="1">
      <alignment horizontal="center" vertical="center" wrapText="1"/>
    </xf>
    <xf numFmtId="4" fontId="0" fillId="38" borderId="14" xfId="0" applyFont="1" applyFill="1" applyBorder="1" applyNumberFormat="1">
      <alignment horizontal="right" vertical="center" wrapText="1"/>
    </xf>
    <xf numFmtId="49" fontId="23" fillId="0" borderId="38" xfId="0" applyFont="1" applyBorder="1" applyNumberFormat="1">
      <alignment horizontal="center" vertical="top"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2" borderId="14" xfId="0" applyFont="1" applyFill="1" applyBorder="1" applyNumberFormat="1">
      <alignment horizontal="left" vertical="center" wrapText="1"/>
      <protection locked="0"/>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23" fillId="0" borderId="25" xfId="0" applyFont="1" applyBorder="1" applyNumberFormat="1">
      <alignment horizontal="center" vertical="top" wrapText="1"/>
    </xf>
    <xf numFmtId="49" fontId="23" fillId="42" borderId="14" xfId="0" applyFont="1" applyFill="1" applyBorder="1" applyNumberFormat="1">
      <alignment horizontal="left" vertical="center" wrapText="1" indent="1"/>
      <protection locked="0"/>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0" fontId="23" fillId="43" borderId="14" xfId="0" applyFont="1" applyFill="1" applyBorder="1" applyNumberFormat="1">
      <alignment horizontal="left" vertical="top" wrapText="1"/>
    </xf>
    <xf numFmtId="49" fontId="23"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49" fontId="0" fillId="0" borderId="14" xfId="0" applyFont="1" applyBorder="1" applyNumberFormat="1">
      <alignment horizontal="left" vertical="top"/>
    </xf>
    <xf numFmtId="49" fontId="0" fillId="43" borderId="14"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23" fillId="43" borderId="0" xfId="0" applyFont="1" applyFill="1" applyNumberFormat="1">
      <alignment horizontal="center" vertical="center" wrapText="1"/>
    </xf>
    <xf numFmtId="0" fontId="48" fillId="0" borderId="38" xfId="0" applyFont="1" applyBorder="1" applyNumberFormat="1">
      <alignment horizontal="left" vertical="center"/>
    </xf>
    <xf numFmtId="49" fontId="0" fillId="43" borderId="38" xfId="0" applyFont="1" applyFill="1" applyBorder="1" applyNumberFormat="1">
      <alignment horizontal="left" vertical="center" wrapText="1"/>
      <protection locked="0"/>
    </xf>
    <xf numFmtId="49" fontId="23" fillId="43" borderId="38" xfId="0" applyFont="1" applyFill="1" applyBorder="1" applyNumberFormat="1">
      <alignment horizontal="center" vertical="center" wrapText="1"/>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49" fontId="0" fillId="0" borderId="0" xfId="0" applyFont="1" applyNumberFormat="1">
      <alignment vertical="top"/>
    </xf>
    <xf numFmtId="0" fontId="0" fillId="0" borderId="0" xfId="0" applyFont="1" applyNumberFormat="1">
      <alignment vertical="center"/>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0" fillId="0" borderId="24"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9" xfId="0" applyFont="1" applyBorder="1" applyNumberFormat="1">
      <alignment vertical="center"/>
    </xf>
    <xf numFmtId="49" fontId="23" fillId="0" borderId="38" xfId="0" applyFont="1" applyBorder="1" applyNumberFormat="1">
      <alignment horizontal="center" vertical="center"/>
    </xf>
    <xf numFmtId="49" fontId="23" fillId="0" borderId="38" xfId="0" applyFont="1" applyBorder="1" applyNumberFormat="1">
      <alignment vertical="center" wrapText="1"/>
    </xf>
    <xf numFmtId="0" fontId="23" fillId="0" borderId="26" xfId="0" applyFont="1" applyBorder="1" applyNumberFormat="1">
      <alignment horizontal="center" vertical="center"/>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45" fillId="0" borderId="38" xfId="0" applyFont="1" applyBorder="1" applyNumberFormat="1">
      <alignment vertical="center" wrapText="1"/>
    </xf>
    <xf numFmtId="0" fontId="23" fillId="43" borderId="19" xfId="0" applyFont="1" applyFill="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horizontal="left" vertical="center" wrapText="1"/>
    </xf>
    <xf numFmtId="0"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vertical="center" wrapText="1"/>
    </xf>
    <xf numFmtId="0" fontId="23" fillId="0" borderId="38" xfId="0" applyFont="1" applyBorder="1" applyNumberFormat="1">
      <alignment horizontal="left" vertical="center" wrapText="1"/>
    </xf>
    <xf numFmtId="49" fontId="23" fillId="0" borderId="38" xfId="0" applyFont="1" applyBorder="1" applyNumberFormat="1">
      <alignment horizontal="left" vertical="center" wrapText="1"/>
    </xf>
    <xf numFmtId="0" fontId="23" fillId="43" borderId="38" xfId="0" applyFont="1" applyFill="1" applyBorder="1" applyNumberFormat="1">
      <alignment horizontal="left" vertical="center" wrapText="1"/>
    </xf>
    <xf numFmtId="49" fontId="23" fillId="0" borderId="38" xfId="0" applyFont="1" applyBorder="1" applyNumberFormat="1">
      <alignment horizontal="center"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23" fillId="0" borderId="38" xfId="0" applyFont="1" applyBorder="1" applyNumberFormat="1">
      <alignment horizontal="center" vertical="center" wrapText="1"/>
    </xf>
    <xf numFmtId="0" fontId="48" fillId="40" borderId="39"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45" fillId="0" borderId="38" xfId="0" applyFont="1" applyBorder="1" applyNumberFormat="1">
      <alignment horizontal="center" vertical="center" wrapText="1"/>
    </xf>
    <xf numFmtId="0" fontId="48" fillId="40" borderId="39" xfId="0" applyFont="1" applyFill="1" applyBorder="1" applyNumberFormat="1">
      <alignment vertical="center"/>
    </xf>
    <xf numFmtId="0" fontId="48" fillId="0" borderId="38" xfId="0" applyFont="1" applyBorder="1" applyNumberFormat="1">
      <alignment horizontal="left" vertical="center"/>
    </xf>
    <xf numFmtId="49" fontId="23" fillId="39" borderId="19" xfId="0" applyFont="1" applyFill="1" applyBorder="1" applyNumberFormat="1">
      <alignment horizontal="left" vertical="center" wrapText="1"/>
      <protection locked="0"/>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0" borderId="21" xfId="0" applyFont="1" applyBorder="1" applyNumberFormat="1">
      <alignment horizontal="lef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49" fontId="100" fillId="0" borderId="14" xfId="0" applyFont="1" applyBorder="1" applyNumberFormat="1">
      <alignment vertical="top" wrapText="1"/>
    </xf>
    <xf numFmtId="49" fontId="96" fillId="0" borderId="14" xfId="0" applyFont="1" applyBorder="1" applyNumberFormat="1">
      <alignment horizontal="center" vertical="top" wrapText="1"/>
    </xf>
    <xf numFmtId="49" fontId="96" fillId="34" borderId="14" xfId="0" applyFont="1" applyFill="1" applyBorder="1" applyNumberFormat="1">
      <alignment horizontal="center" vertical="top"/>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0" fontId="100" fillId="0" borderId="14" xfId="0" applyFont="1" applyBorder="1" applyNumberFormat="1">
      <alignment vertical="top" wrapText="1"/>
    </xf>
    <xf numFmtId="49" fontId="100" fillId="0" borderId="0" xfId="0" applyFont="1" applyNumberFormat="1">
      <alignment vertical="top" wrapText="1"/>
    </xf>
    <xf numFmtId="49" fontId="100" fillId="0" borderId="0" xfId="0" applyFont="1" applyNumberFormat="1">
      <alignment vertical="top"/>
    </xf>
    <xf numFmtId="49" fontId="100" fillId="0" borderId="0" xfId="0" applyFont="1" applyNumberFormat="1">
      <alignment horizontal="center" vertical="top" wrapText="1"/>
    </xf>
    <xf numFmtId="49" fontId="100" fillId="0" borderId="14" xfId="0" applyFont="1" applyBorder="1" applyNumberFormat="1">
      <alignment horizontal="center" vertical="top" wrapText="1"/>
    </xf>
    <xf numFmtId="49" fontId="100" fillId="0" borderId="14" xfId="0" applyFont="1" applyBorder="1" applyNumberFormat="1">
      <alignment horizontal="center" vertical="top" wrapText="1"/>
    </xf>
    <xf numFmtId="49" fontId="100" fillId="34" borderId="14" xfId="0" applyFont="1" applyFill="1" applyBorder="1" applyNumberFormat="1">
      <alignment horizontal="center" vertical="top" wrapText="1"/>
    </xf>
    <xf numFmtId="49" fontId="96" fillId="34" borderId="14" xfId="0" applyFont="1" applyFill="1" applyBorder="1" applyNumberFormat="1">
      <alignment horizontal="center" vertical="top" wrapText="1"/>
    </xf>
    <xf numFmtId="49" fontId="100" fillId="0" borderId="14" xfId="0" applyFont="1" applyBorder="1" applyNumberFormat="1">
      <alignment horizontal="left" vertical="top" wrapText="1"/>
    </xf>
    <xf numFmtId="0" fontId="96" fillId="34" borderId="14" xfId="0" applyFont="1" applyFill="1" applyBorder="1" applyNumberFormat="1">
      <alignment horizontal="center" vertical="top" wrapText="1"/>
    </xf>
    <xf numFmtId="0" fontId="100" fillId="34" borderId="14" xfId="0" applyFont="1" applyFill="1" applyBorder="1" applyNumberFormat="1">
      <alignment horizontal="right" vertical="center"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0" fontId="100" fillId="0" borderId="14" xfId="0" applyFont="1" applyBorder="1" applyNumberFormat="1">
      <alignment horizontal="left" vertical="top" wrapText="1"/>
    </xf>
    <xf numFmtId="49" fontId="100" fillId="34" borderId="14" xfId="0" applyFont="1" applyFill="1" applyBorder="1" applyNumberFormat="1">
      <alignment horizontal="left" vertical="top" wrapText="1"/>
    </xf>
    <xf numFmtId="0" fontId="100" fillId="34" borderId="14" xfId="0" applyFont="1" applyFill="1" applyBorder="1" applyNumberFormat="1">
      <alignment horizontal="center" vertical="center" wrapText="1"/>
    </xf>
    <xf numFmtId="0" fontId="100" fillId="34" borderId="14" xfId="0" applyFont="1" applyFill="1" applyBorder="1" applyNumberFormat="1">
      <alignment horizontal="center" vertical="center"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19" xfId="0" applyFont="1" applyBorder="1" applyNumberFormat="1">
      <alignment horizontal="center" vertical="top" wrapText="1"/>
    </xf>
    <xf numFmtId="0" fontId="100" fillId="0" borderId="19" xfId="0" applyFont="1" applyBorder="1" applyNumberFormat="1">
      <alignment horizontal="left" vertical="top" wrapText="1"/>
    </xf>
    <xf numFmtId="49" fontId="100" fillId="0" borderId="39" xfId="0" applyFont="1" applyBorder="1" applyNumberFormat="1">
      <alignment horizontal="center" vertical="top" wrapText="1"/>
    </xf>
    <xf numFmtId="49" fontId="100" fillId="0" borderId="39" xfId="0" applyFont="1" applyBorder="1" applyNumberFormat="1">
      <alignment horizontal="center" vertical="top" wrapText="1"/>
    </xf>
    <xf numFmtId="0" fontId="100" fillId="0" borderId="15" xfId="0" applyFont="1" applyBorder="1" applyNumberFormat="1">
      <alignment horizontal="left" vertical="top" wrapText="1"/>
    </xf>
    <xf numFmtId="49" fontId="100" fillId="0" borderId="25"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24" xfId="0" applyFont="1" applyBorder="1" applyNumberFormat="1">
      <alignment horizontal="center" vertical="top" wrapText="1"/>
    </xf>
    <xf numFmtId="0" fontId="100" fillId="0" borderId="19" xfId="0" applyFont="1" applyBorder="1" applyNumberFormat="1">
      <alignment vertical="top" wrapText="1"/>
    </xf>
    <xf numFmtId="49" fontId="96" fillId="0" borderId="14" xfId="0" applyFont="1" applyBorder="1" applyNumberFormat="1">
      <alignment horizontal="left" vertical="top" wrapText="1"/>
    </xf>
    <xf numFmtId="0" fontId="96" fillId="0" borderId="16" xfId="0" applyFont="1" applyBorder="1" applyNumberFormat="1">
      <alignment horizontal="center" vertical="center" wrapText="1"/>
    </xf>
    <xf numFmtId="0" fontId="96" fillId="0" borderId="16" xfId="0" applyFont="1" applyBorder="1" applyNumberFormat="1">
      <alignment horizontal="center" vertical="center"/>
    </xf>
    <xf numFmtId="49" fontId="96" fillId="0" borderId="14" xfId="0" applyFont="1" applyBorder="1" applyNumberFormat="1">
      <alignment horizontal="center" vertical="center" wrapText="1"/>
    </xf>
    <xf numFmtId="0" fontId="96" fillId="0" borderId="14" xfId="0" applyFont="1" applyBorder="1" applyNumberFormat="1">
      <alignment vertical="center" wrapText="1"/>
    </xf>
    <xf numFmtId="49" fontId="100" fillId="0" borderId="16" xfId="0" applyFont="1" applyBorder="1" applyNumberFormat="1">
      <alignment horizontal="left" vertical="top" wrapText="1"/>
    </xf>
    <xf numFmtId="0" fontId="96" fillId="0" borderId="14" xfId="0" applyFont="1" applyBorder="1" applyNumberFormat="1">
      <alignment horizontal="center"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100" fillId="0" borderId="32" xfId="0" applyFont="1" applyBorder="1" applyNumberFormat="1">
      <alignment horizontal="left" vertical="top" wrapText="1"/>
    </xf>
    <xf numFmtId="49" fontId="100" fillId="0" borderId="15" xfId="0" applyFont="1" applyBorder="1" applyNumberFormat="1">
      <alignment horizontal="left" vertical="top"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38" xfId="0" applyFont="1" applyBorder="1" applyNumberFormat="1">
      <alignment horizontal="left" vertical="top" wrapText="1"/>
    </xf>
    <xf numFmtId="0" fontId="100" fillId="0" borderId="38" xfId="0" applyFont="1" applyBorder="1" applyNumberFormat="1">
      <alignment horizontal="left" vertical="top" wrapText="1"/>
    </xf>
    <xf numFmtId="49" fontId="100" fillId="0" borderId="0" xfId="0" applyFont="1" applyNumberFormat="1">
      <alignment horizontal="left" vertical="top" wrapText="1"/>
    </xf>
    <xf numFmtId="49" fontId="100" fillId="34" borderId="0" xfId="0" applyFont="1" applyFill="1" applyNumberFormat="1">
      <alignment horizontal="left" vertical="top" wrapText="1"/>
    </xf>
    <xf numFmtId="0" fontId="100" fillId="0" borderId="0" xfId="0" applyFont="1" applyNumberFormat="1">
      <alignment vertical="top"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0" fillId="0" borderId="0" xfId="0" applyFont="1" applyNumberFormat="1">
      <alignment horizontal="left" vertical="center"/>
    </xf>
    <xf numFmtId="0" fontId="0" fillId="37" borderId="14" xfId="0" applyFont="1" applyFill="1" applyBorder="1" applyNumberFormat="1">
      <alignment horizontal="right" vertical="center" wrapText="1" indent="1"/>
    </xf>
    <xf numFmtId="0" fontId="0" fillId="0" borderId="16"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indent="6"/>
      <protection locked="0"/>
    </xf>
    <xf numFmtId="167" fontId="0" fillId="42" borderId="14" xfId="0" applyFont="1" applyFill="1" applyBorder="1" applyNumberFormat="1">
      <alignment horizontal="center" vertical="center" wrapText="1"/>
      <protection locked="0"/>
    </xf>
    <xf numFmtId="49" fontId="23" fillId="0" borderId="14" xfId="0" applyFont="1" applyBorder="1" applyNumberFormat="1">
      <alignment horizontal="left" vertical="center" wrapText="1"/>
    </xf>
    <xf numFmtId="49" fontId="106" fillId="40" borderId="16" xfId="0" applyFont="1" applyFill="1" applyBorder="1" applyNumberFormat="1">
      <alignment horizontal="left" vertical="center"/>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54" fillId="0" borderId="0" xfId="0" applyFont="1" applyNumberFormat="1">
      <alignment horizontal="left" vertical="center"/>
    </xf>
    <xf numFmtId="49" fontId="40" fillId="0" borderId="0" xfId="0" applyFont="1" applyNumberFormat="1">
      <alignment vertical="top"/>
    </xf>
    <xf numFmtId="49" fontId="0" fillId="0" borderId="26" xfId="0" applyFont="1" applyBorder="1" applyNumberFormat="1">
      <alignment vertical="top"/>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0" fillId="0" borderId="0" xfId="0" applyFont="1" applyNumberFormat="1">
      <alignment vertical="top"/>
    </xf>
    <xf numFmtId="49" fontId="54" fillId="0" borderId="0" xfId="0" applyFont="1" applyNumberFormat="1">
      <alignment horizontal="left" vertical="center"/>
    </xf>
    <xf numFmtId="49" fontId="54" fillId="0" borderId="0" xfId="0" applyFont="1" applyNumberFormat="1">
      <alignment horizontal="left" vertical="top"/>
    </xf>
    <xf numFmtId="49" fontId="72" fillId="40" borderId="16" xfId="0" applyFont="1" applyFill="1" applyBorder="1" applyNumberFormat="1">
      <alignment horizontal="left" vertical="top"/>
    </xf>
    <xf numFmtId="49" fontId="114" fillId="40" borderId="17" xfId="0" applyFont="1" applyFill="1" applyBorder="1" applyNumberFormat="1">
      <alignment horizontal="left" vertical="center"/>
    </xf>
    <xf numFmtId="49" fontId="55"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4" xfId="0" applyFont="1" applyBorder="1" applyNumberFormat="1">
      <alignment vertical="top"/>
    </xf>
    <xf numFmtId="49" fontId="0" fillId="0" borderId="16" xfId="0" applyFont="1" applyBorder="1" applyNumberFormat="1">
      <alignment vertical="top"/>
    </xf>
    <xf numFmtId="49" fontId="0" fillId="0" borderId="14" xfId="0" applyFont="1" applyBorder="1" applyNumberFormat="1">
      <alignment horizontal="center" vertical="top"/>
    </xf>
    <xf numFmtId="49" fontId="0" fillId="0" borderId="16" xfId="0" applyFont="1" applyBorder="1" applyNumberFormat="1">
      <alignment horizontal="center" vertical="top"/>
    </xf>
    <xf numFmtId="49" fontId="0" fillId="0" borderId="14" xfId="0" applyFont="1" applyBorder="1" applyNumberFormat="1">
      <alignment vertical="top"/>
    </xf>
    <xf numFmtId="49" fontId="0" fillId="45" borderId="19" xfId="0" applyFont="1" applyFill="1" applyBorder="1" applyNumberFormat="1">
      <alignment vertical="top"/>
    </xf>
    <xf numFmtId="49" fontId="0" fillId="0" borderId="16" xfId="0" applyFont="1" applyBorder="1" applyNumberFormat="1">
      <alignment horizontal="center" vertical="top"/>
    </xf>
    <xf numFmtId="49" fontId="0" fillId="46" borderId="14" xfId="0" applyFont="1" applyFill="1" applyBorder="1" applyNumberFormat="1">
      <alignment vertical="top"/>
    </xf>
    <xf numFmtId="49" fontId="0" fillId="0" borderId="17" xfId="0" applyFont="1" applyBorder="1" applyNumberFormat="1">
      <alignment horizontal="center" vertical="top"/>
    </xf>
    <xf numFmtId="49" fontId="0" fillId="3" borderId="14" xfId="0" applyFont="1" applyFill="1" applyBorder="1" applyNumberFormat="1">
      <alignment vertical="top"/>
    </xf>
    <xf numFmtId="49" fontId="0" fillId="47" borderId="14" xfId="0" applyFont="1" applyFill="1" applyBorder="1" applyNumberFormat="1">
      <alignment vertical="top"/>
    </xf>
    <xf numFmtId="49" fontId="0" fillId="16" borderId="19" xfId="0" applyFont="1" applyFill="1" applyBorder="1" applyNumberFormat="1">
      <alignment vertical="top"/>
    </xf>
    <xf numFmtId="49" fontId="0" fillId="5" borderId="16" xfId="0" applyFont="1" applyFill="1" applyBorder="1" applyNumberFormat="1">
      <alignment vertical="top"/>
    </xf>
    <xf numFmtId="49" fontId="0" fillId="5" borderId="14" xfId="0" applyFont="1" applyFill="1" applyBorder="1" applyNumberFormat="1">
      <alignment vertical="top"/>
    </xf>
    <xf numFmtId="49" fontId="0" fillId="16" borderId="14"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6" fillId="0" borderId="13" xfId="0" applyFont="1" applyBorder="1" applyNumberFormat="1">
      <alignment vertical="top" wrapText="1"/>
    </xf>
    <xf numFmtId="0" fontId="0" fillId="0" borderId="13" xfId="0" applyFont="1" applyBorder="1" applyNumberFormat="1">
      <alignment vertical="top" wrapText="1"/>
    </xf>
    <xf numFmtId="0" fontId="22" fillId="0" borderId="20" xfId="0" applyFont="1" applyBorder="1" applyNumberFormat="1">
      <alignment vertical="top" wrapText="1"/>
    </xf>
    <xf numFmtId="0" fontId="0" fillId="0" borderId="0" xfId="0" applyFont="1" applyNumberFormat="1">
      <alignment vertical="top"/>
    </xf>
    <xf numFmtId="0" fontId="0" fillId="0" borderId="14" xfId="0" applyFont="1" applyBorder="1" applyNumberFormat="1">
      <alignment vertical="top" wrapText="1"/>
    </xf>
    <xf numFmtId="49" fontId="0" fillId="0" borderId="14" xfId="0" applyFont="1" applyBorder="1" applyNumberFormat="1">
      <alignment vertical="top" wrapText="1"/>
    </xf>
    <xf numFmtId="49" fontId="0" fillId="0" borderId="19" xfId="0" applyFont="1" applyBorder="1" applyNumberFormat="1">
      <alignment vertical="top"/>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49" fontId="0" fillId="0" borderId="0" xfId="0" applyFont="1" applyNumberFormat="1">
      <alignment vertical="top"/>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107" fillId="0" borderId="0" xfId="0" applyFont="1" applyNumberFormat="1">
      <alignment vertical="center" wrapText="1"/>
    </xf>
    <xf numFmtId="0" fontId="107" fillId="0" borderId="0" xfId="0" applyFont="1" applyNumberFormat="1">
      <alignment horizontal="left" vertical="center" wrapText="1"/>
    </xf>
    <xf numFmtId="49" fontId="122" fillId="0" borderId="0" xfId="0" applyFont="1" applyNumberFormat="1">
      <alignment wrapText="1"/>
    </xf>
    <xf numFmtId="0" fontId="107"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71" fillId="0" borderId="0" xfId="0" applyFont="1" applyNumberFormat="1">
      <alignment wrapText="1"/>
    </xf>
    <xf numFmtId="0" fontId="22" fillId="48" borderId="40" xfId="0" applyFont="1" applyFill="1" applyBorder="1" applyNumberFormat="1">
      <alignment horizontal="right" vertical="center" wrapText="1" indent="1"/>
    </xf>
    <xf numFmtId="0" fontId="22" fillId="48" borderId="67" xfId="0" applyFont="1" applyFill="1" applyBorder="1" applyNumberFormat="1">
      <alignment horizontal="right" vertical="center" wrapText="1" inden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0" xfId="0" applyFont="1" applyNumberFormat="1">
      <alignment vertical="center" wrapText="1"/>
    </xf>
    <xf numFmtId="0" fontId="0" fillId="55" borderId="63" xfId="0" applyFont="1" applyFill="1" applyBorder="1" applyNumberFormat="1">
      <alignment horizontal="center"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22" fillId="48" borderId="0" xfId="0" applyFont="1" applyFill="1" applyNumberFormat="1">
      <alignment horizontal="right" vertical="center" wrapText="1" inden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125" fillId="0" borderId="0" xfId="0" applyFont="1" applyNumberFormat="1"/>
    <xf numFmtId="0" fontId="125" fillId="0" borderId="40" xfId="0" applyFont="1" applyBorder="1" applyNumberFormat="1">
      <alignment wrapText="1"/>
    </xf>
    <xf numFmtId="0" fontId="125" fillId="0" borderId="0" xfId="0" applyFont="1" applyNumberFormat="1">
      <alignment vertical="top" wrapTex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49" fontId="71" fillId="0" borderId="0" xfId="0" applyFont="1" applyNumberFormat="1">
      <alignment vertical="top" wrapText="1"/>
    </xf>
    <xf numFmtId="0" fontId="38" fillId="0" borderId="0" xfId="0" applyFont="1" applyNumberFormat="1"/>
    <xf numFmtId="0" fontId="68" fillId="0" borderId="0" xfId="0" applyFont="1" applyNumberFormat="1">
      <alignment vertical="center" wrapText="1"/>
    </xf>
    <xf numFmtId="0" fontId="96" fillId="0" borderId="0" xfId="0" applyFont="1" applyNumberFormat="1">
      <alignment horizontal="left" vertical="center" wrapText="1"/>
    </xf>
    <xf numFmtId="0" fontId="68" fillId="0" borderId="0" xfId="0" applyFont="1" applyNumberFormat="1">
      <alignment horizontal="left" vertical="center" wrapText="1"/>
    </xf>
    <xf numFmtId="0" fontId="68" fillId="0" borderId="0" xfId="0" applyFont="1" applyNumberFormat="1">
      <alignment vertical="center" wrapText="1"/>
    </xf>
    <xf numFmtId="0" fontId="40" fillId="0" borderId="0" xfId="0" applyFont="1" applyNumberFormat="1">
      <alignment horizontal="center" vertical="center" wrapText="1"/>
    </xf>
    <xf numFmtId="0" fontId="40"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horizontal="left" vertical="center" wrapText="1"/>
    </xf>
    <xf numFmtId="0" fontId="23" fillId="0" borderId="0" xfId="0" applyFont="1" applyNumberFormat="1">
      <alignment horizontal="left" vertical="top" indent="1"/>
    </xf>
    <xf numFmtId="49" fontId="71" fillId="0" borderId="0" xfId="0" applyFont="1" applyNumberFormat="1">
      <alignment vertical="top"/>
    </xf>
    <xf numFmtId="49" fontId="23" fillId="0" borderId="0" xfId="0" applyFont="1" applyNumberFormat="1">
      <alignment vertical="center" wrapText="1"/>
    </xf>
    <xf numFmtId="49" fontId="54"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4" fillId="0" borderId="0" xfId="0" applyFont="1" applyNumberFormat="1">
      <alignment vertical="top"/>
    </xf>
    <xf numFmtId="49" fontId="0" fillId="0" borderId="0" xfId="0" applyFont="1" applyNumberFormat="1">
      <alignment vertical="top"/>
    </xf>
    <xf numFmtId="0" fontId="65" fillId="0" borderId="0" xfId="0" applyFont="1" applyNumberFormat="1">
      <alignment vertical="center" wrapText="1"/>
    </xf>
    <xf numFmtId="0" fontId="96" fillId="0" borderId="0" xfId="0" applyFont="1" applyNumberFormat="1">
      <alignment horizontal="lef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3" fillId="0" borderId="0" xfId="0" applyFont="1" applyNumberFormat="1">
      <alignment vertical="center" wrapText="1"/>
    </xf>
    <xf numFmtId="0" fontId="42" fillId="37" borderId="0" xfId="0" applyFont="1" applyFill="1" applyNumberFormat="1">
      <alignmen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36" fillId="37" borderId="0" xfId="0" applyFont="1" applyFill="1" applyNumberFormat="1">
      <alignment vertical="center" wrapText="1"/>
    </xf>
    <xf numFmtId="0" fontId="101"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23" fillId="37" borderId="28" xfId="0" applyFont="1" applyFill="1" applyBorder="1" applyNumberFormat="1">
      <alignment horizontal="right" vertical="center" wrapText="1" indent="1"/>
    </xf>
    <xf numFmtId="0" fontId="0" fillId="38" borderId="14" xfId="0" applyFont="1" applyFill="1" applyBorder="1" applyNumberFormat="1">
      <alignment horizontal="left" vertical="center" wrapText="1" indent="1"/>
    </xf>
    <xf numFmtId="14" fontId="96" fillId="37" borderId="0" xfId="0" applyFont="1" applyFill="1" applyNumberFormat="1">
      <alignment horizontal="left"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3" fillId="0" borderId="0" xfId="0" applyFont="1" applyNumberFormat="1">
      <alignment horizontal="center" vertical="center" wrapText="1"/>
    </xf>
    <xf numFmtId="0" fontId="23" fillId="0" borderId="0" xfId="0" applyFont="1" applyNumberFormat="1">
      <alignment vertical="center" wrapText="1"/>
    </xf>
    <xf numFmtId="0" fontId="41" fillId="0" borderId="0" xfId="0" applyFont="1" applyNumberFormat="1">
      <alignment vertical="center" wrapText="1"/>
    </xf>
    <xf numFmtId="0" fontId="42" fillId="37" borderId="0" xfId="0" applyFont="1" applyFill="1" applyNumberFormat="1">
      <alignment vertical="center" wrapText="1"/>
    </xf>
    <xf numFmtId="0" fontId="23" fillId="37" borderId="28" xfId="0" applyFont="1" applyFill="1" applyBorder="1" applyNumberFormat="1">
      <alignment horizontal="right" vertical="center" wrapText="1" indent="1"/>
    </xf>
    <xf numFmtId="0" fontId="23" fillId="42" borderId="14"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4"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14" fontId="98" fillId="0" borderId="14" xfId="0" applyFont="1" applyBorder="1" applyNumberFormat="1">
      <alignment horizontal="center" vertical="center" wrapText="1"/>
    </xf>
    <xf numFmtId="167" fontId="0" fillId="42" borderId="14"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8" fillId="0" borderId="14" xfId="0" applyFont="1" applyBorder="1" applyNumberFormat="1">
      <alignment horizontal="left" vertical="center" wrapText="1"/>
    </xf>
    <xf numFmtId="49" fontId="23" fillId="37" borderId="28" xfId="0" applyFont="1" applyFill="1" applyBorder="1" applyNumberFormat="1">
      <alignment horizontal="right" vertical="center" wrapText="1" indent="1"/>
    </xf>
    <xf numFmtId="167" fontId="0" fillId="42" borderId="14" xfId="0" applyFont="1" applyFill="1" applyBorder="1" applyNumberFormat="1">
      <alignment horizontal="left" vertical="center" wrapText="1" indent="1"/>
      <protection locked="0"/>
    </xf>
    <xf numFmtId="49" fontId="54" fillId="0" borderId="0" xfId="0" applyFont="1" applyNumberFormat="1">
      <alignment vertical="center" wrapText="1"/>
    </xf>
    <xf numFmtId="0" fontId="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167" fontId="0" fillId="42" borderId="14" xfId="0" applyFont="1" applyFill="1" applyBorder="1" applyNumberFormat="1">
      <alignment horizontal="left" vertical="center" wrapText="1" indent="1"/>
      <protection locked="0"/>
    </xf>
    <xf numFmtId="0" fontId="0" fillId="37" borderId="0" xfId="0" applyFont="1" applyFill="1" applyNumberFormat="1">
      <alignment horizontal="right" vertical="center" wrapText="1" indent="1"/>
    </xf>
    <xf numFmtId="0" fontId="101"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42" borderId="14" xfId="0" applyFont="1" applyFill="1" applyBorder="1" applyNumberFormat="1">
      <alignment horizontal="left" vertical="center" wrapText="1" indent="1"/>
      <protection locked="0"/>
    </xf>
    <xf numFmtId="49" fontId="13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49" fontId="130" fillId="42" borderId="14" xfId="0" applyFont="1" applyFill="1" applyBorder="1" applyNumberFormat="1">
      <alignment horizontal="left" vertical="center" wrapText="1" indent="1"/>
      <protection locked="0"/>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49" fontId="23" fillId="38" borderId="14"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8"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2" borderId="14" xfId="0" applyFont="1" applyFill="1" applyBorder="1" applyNumberFormat="1">
      <alignment horizontal="left" vertical="center" wrapText="1" indent="1"/>
      <protection locked="0"/>
    </xf>
    <xf numFmtId="0" fontId="23" fillId="42" borderId="14" xfId="0" applyFont="1" applyFill="1" applyBorder="1" applyNumberFormat="1">
      <alignment horizontal="left" vertical="center" wrapText="1" indent="1"/>
      <protection locked="0"/>
    </xf>
    <xf numFmtId="0" fontId="66" fillId="37" borderId="0" xfId="0" applyFont="1" applyFill="1" applyNumberFormat="1">
      <alignment horizontal="right" vertical="center" wrapText="1" indent="1"/>
    </xf>
    <xf numFmtId="0" fontId="66" fillId="37" borderId="0" xfId="0" applyFont="1" applyFill="1" applyNumberFormat="1">
      <alignment horizontal="left" vertical="center" wrapText="1" indent="1"/>
    </xf>
    <xf numFmtId="49" fontId="23" fillId="43" borderId="14" xfId="0" applyFont="1" applyFill="1" applyBorder="1" applyNumberFormat="1">
      <alignment horizontal="left" vertical="center" wrapText="1" inden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40" fillId="0" borderId="0" xfId="0" applyFont="1" applyNumberFormat="1">
      <alignment horizontal="left" vertical="center" wrapText="1"/>
    </xf>
    <xf numFmtId="49" fontId="32" fillId="0" borderId="14" xfId="0" applyFont="1" applyBorder="1" applyNumberFormat="1">
      <alignment horizontal="left" vertical="center" wrapText="1" indent="1"/>
    </xf>
    <xf numFmtId="0" fontId="40" fillId="0" borderId="0" xfId="0" applyFont="1" applyNumberFormat="1">
      <alignment horizontal="left" vertical="center" wrapText="1"/>
    </xf>
    <xf numFmtId="0" fontId="23" fillId="0" borderId="0" xfId="0" applyFont="1" applyNumberFormat="1">
      <alignment vertical="center" wrapText="1"/>
    </xf>
    <xf numFmtId="14" fontId="97" fillId="0" borderId="0" xfId="0" applyFont="1" applyNumberFormat="1">
      <alignment horizontal="center" vertical="center" wrapText="1"/>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88" fillId="0" borderId="0" xfId="0" applyFont="1" applyNumberFormat="1">
      <alignment vertical="center" wrapText="1"/>
    </xf>
    <xf numFmtId="0" fontId="23" fillId="43" borderId="14" xfId="0" applyFont="1" applyFill="1" applyBorder="1" applyNumberFormat="1">
      <alignment horizontal="left" vertical="center" wrapText="1" indent="1"/>
    </xf>
    <xf numFmtId="167" fontId="0" fillId="0" borderId="13" xfId="0" applyFont="1" applyBorder="1" applyNumberFormat="1">
      <alignment horizontal="left" vertical="center" wrapText="1" indent="1"/>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xf>
    <xf numFmtId="0" fontId="96" fillId="0" borderId="0" xfId="0" applyFont="1" applyNumberFormat="1">
      <alignment horizontal="left" vertical="center" wrapText="1"/>
    </xf>
    <xf numFmtId="49" fontId="40" fillId="0" borderId="0" xfId="0" applyFont="1" applyNumberFormat="1">
      <alignment horizontal="left" vertical="center" wrapText="1"/>
    </xf>
    <xf numFmtId="49" fontId="42"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2" borderId="14" xfId="0" applyFont="1" applyFill="1" applyBorder="1" applyNumberFormat="1">
      <alignment horizontal="left" vertical="center" wrapText="1" indent="1"/>
      <protection locked="0"/>
    </xf>
    <xf numFmtId="49" fontId="130" fillId="42" borderId="14"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6" fillId="0" borderId="0" xfId="0" applyFont="1" applyNumberFormat="1">
      <alignment horizontal="left" vertical="center" wrapText="1"/>
    </xf>
    <xf numFmtId="0" fontId="40" fillId="0" borderId="0" xfId="0" applyFont="1" applyNumberFormat="1">
      <alignment horizontal="left" vertical="center" wrapText="1"/>
    </xf>
    <xf numFmtId="0" fontId="41"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40" fillId="0" borderId="0" xfId="0" applyFont="1" applyNumberFormat="1">
      <alignment horizontal="center" vertical="center" wrapText="1"/>
    </xf>
    <xf numFmtId="0" fontId="54" fillId="0" borderId="0" xfId="0" applyFont="1" applyNumberFormat="1">
      <alignment vertical="center" wrapText="1"/>
    </xf>
    <xf numFmtId="0" fontId="55" fillId="0" borderId="0" xfId="0" applyFont="1" applyNumberFormat="1">
      <alignment vertical="center" wrapText="1"/>
    </xf>
    <xf numFmtId="0" fontId="77"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center" vertical="center" wrapText="1"/>
    </xf>
    <xf numFmtId="0" fontId="55" fillId="0" borderId="0" xfId="0" applyFont="1" applyNumberFormat="1">
      <alignment horizontal="left" vertical="center" wrapText="1" indent="1"/>
    </xf>
    <xf numFmtId="0" fontId="55" fillId="0" borderId="0" xfId="0" applyFont="1" applyNumberFormat="1">
      <alignment horizontal="left" vertical="center" indent="1"/>
    </xf>
    <xf numFmtId="0" fontId="61" fillId="0" borderId="0" xfId="0" applyFont="1" applyNumberFormat="1">
      <alignment vertical="center" wrapText="1"/>
    </xf>
    <xf numFmtId="0" fontId="23"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50"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17"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4" xfId="0" applyFont="1" applyBorder="1" applyNumberFormat="1">
      <alignment horizontal="center" vertical="center" wrapText="1"/>
    </xf>
    <xf numFmtId="0" fontId="44" fillId="0" borderId="0" xfId="0" applyFont="1" applyNumberFormat="1">
      <alignment horizontal="center" vertical="center" wrapText="1"/>
    </xf>
    <xf numFmtId="49" fontId="44" fillId="0" borderId="17" xfId="0" applyFont="1" applyBorder="1" applyNumberFormat="1">
      <alignment horizontal="center" vertical="center" wrapText="1"/>
    </xf>
    <xf numFmtId="49" fontId="44" fillId="0" borderId="17" xfId="0" applyFont="1" applyBorder="1" applyNumberFormat="1">
      <alignment horizontal="center"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49" fontId="23" fillId="40" borderId="21" xfId="0" applyFont="1" applyFill="1" applyBorder="1" applyNumberFormat="1">
      <alignment horizontal="center" vertical="center" wrapText="1"/>
    </xf>
    <xf numFmtId="49" fontId="54" fillId="40" borderId="21" xfId="0" applyFont="1" applyFill="1" applyBorder="1" applyNumberFormat="1">
      <alignment horizontal="left" vertical="center" wrapText="1"/>
    </xf>
    <xf numFmtId="49" fontId="54" fillId="40" borderId="22" xfId="0" applyFont="1" applyFill="1" applyBorder="1" applyNumberFormat="1">
      <alignment horizontal="left" vertical="center" wrapText="1"/>
    </xf>
    <xf numFmtId="0" fontId="55" fillId="0" borderId="24" xfId="0" applyFont="1" applyBorder="1" applyNumberFormat="1">
      <alignment vertical="center"/>
    </xf>
    <xf numFmtId="0" fontId="50" fillId="0" borderId="0" xfId="0" applyFont="1" applyNumberFormat="1">
      <alignment vertical="center" wrapText="1"/>
    </xf>
    <xf numFmtId="0" fontId="23" fillId="0" borderId="0" xfId="0" applyFont="1" applyNumberFormat="1">
      <alignment horizontal="center"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9" fontId="54" fillId="0" borderId="14" xfId="0" applyFont="1" applyBorder="1" applyNumberFormat="1">
      <alignment horizontal="left" vertical="center" wrapText="1"/>
    </xf>
    <xf numFmtId="0" fontId="55" fillId="0" borderId="0" xfId="0" applyFont="1" applyNumberFormat="1">
      <alignment vertical="center"/>
    </xf>
    <xf numFmtId="0" fontId="55" fillId="0" borderId="0" xfId="0" applyFont="1" applyNumberFormat="1">
      <alignment vertical="center"/>
    </xf>
    <xf numFmtId="49" fontId="0" fillId="0" borderId="0" xfId="0" applyFont="1" applyNumberFormat="1">
      <alignment vertical="top"/>
    </xf>
    <xf numFmtId="0" fontId="44" fillId="0" borderId="26" xfId="0" applyFont="1" applyBorder="1" applyNumberFormat="1">
      <alignment vertical="top" wrapText="1"/>
    </xf>
    <xf numFmtId="0" fontId="23" fillId="0" borderId="25" xfId="0" applyFont="1" applyBorder="1" applyNumberFormat="1">
      <alignment horizontal="center" vertical="center" wrapText="1"/>
    </xf>
    <xf numFmtId="0" fontId="55" fillId="0" borderId="25" xfId="0" applyFont="1" applyBorder="1" applyNumberFormat="1">
      <alignment horizontal="center" vertical="center" wrapText="1"/>
    </xf>
    <xf numFmtId="14" fontId="23" fillId="43" borderId="25" xfId="0" applyFont="1" applyFill="1" applyBorder="1" applyNumberFormat="1">
      <alignment horizontal="left" vertical="center" wrapText="1" indent="1"/>
    </xf>
    <xf numFmtId="49" fontId="23" fillId="38" borderId="25" xfId="0" applyFont="1" applyFill="1" applyBorder="1" applyNumberFormat="1">
      <alignment horizontal="center" vertical="center" wrapText="1"/>
    </xf>
    <xf numFmtId="0" fontId="79" fillId="0" borderId="0" xfId="0" applyFont="1" applyNumberFormat="1">
      <alignment vertical="center" wrapText="1"/>
    </xf>
    <xf numFmtId="49" fontId="54" fillId="0" borderId="0" xfId="0" applyFont="1" applyNumberFormat="1">
      <alignment vertical="top"/>
    </xf>
    <xf numFmtId="49" fontId="55" fillId="0" borderId="0" xfId="0" applyFont="1" applyNumberFormat="1">
      <alignment vertical="top"/>
    </xf>
    <xf numFmtId="0" fontId="0" fillId="0" borderId="0" xfId="0" applyFont="1" applyNumberFormat="1">
      <alignment vertical="center" wrapText="1"/>
    </xf>
    <xf numFmtId="0" fontId="44" fillId="0" borderId="0" xfId="0" applyFont="1" applyNumberFormat="1">
      <alignment vertical="top" wrapText="1"/>
    </xf>
    <xf numFmtId="49" fontId="36" fillId="40" borderId="16" xfId="0" applyFont="1" applyFill="1" applyBorder="1" applyNumberFormat="1">
      <alignment horizontal="right" vertical="center" wrapText="1"/>
    </xf>
    <xf numFmtId="49" fontId="36" fillId="40" borderId="17"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0" fillId="40" borderId="17" xfId="0" applyFont="1" applyFill="1" applyBorder="1" applyNumberFormat="1">
      <alignment horizontal="right" vertical="center" wrapText="1"/>
    </xf>
    <xf numFmtId="49" fontId="0" fillId="40" borderId="15" xfId="0" applyFont="1" applyFill="1" applyBorder="1" applyNumberFormat="1">
      <alignment horizontal="right"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xf>
    <xf numFmtId="0" fontId="55" fillId="0" borderId="0" xfId="0" applyFont="1" applyNumberFormat="1">
      <alignment vertical="center"/>
    </xf>
    <xf numFmtId="0" fontId="50" fillId="0" borderId="0" xfId="0" applyFont="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55" fillId="0" borderId="0" xfId="0" applyFont="1" applyNumberFormat="1">
      <alignment vertical="center" wrapText="1"/>
    </xf>
    <xf numFmtId="49" fontId="23" fillId="40" borderId="16"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48" fillId="40" borderId="17" xfId="0" applyFont="1" applyFill="1" applyBorder="1" applyNumberFormat="1">
      <alignment horizontal="left" vertical="center"/>
    </xf>
    <xf numFmtId="49" fontId="23" fillId="40" borderId="15" xfId="0" applyFont="1" applyFill="1" applyBorder="1" applyNumberFormat="1">
      <alignment horizontal="right" vertical="center" wrapText="1"/>
    </xf>
    <xf numFmtId="0" fontId="45" fillId="0" borderId="0" xfId="0" applyFont="1" applyNumberFormat="1">
      <alignment horizontal="center" vertical="center" wrapText="1"/>
    </xf>
    <xf numFmtId="0" fontId="23" fillId="0" borderId="23" xfId="0" applyFont="1" applyBorder="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99" fillId="0" borderId="0" xfId="0" applyFont="1" applyNumberFormat="1">
      <alignment vertical="center" wrapText="1"/>
    </xf>
    <xf numFmtId="0" fontId="57"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0" xfId="0" applyFont="1" applyNumberFormat="1">
      <alignment vertical="center"/>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54" fillId="0" borderId="0" xfId="0" applyFont="1" applyNumberFormat="1">
      <alignment vertical="center"/>
    </xf>
    <xf numFmtId="0" fontId="49" fillId="0" borderId="0" xfId="0" applyFont="1" applyNumberFormat="1">
      <alignment vertical="center"/>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49"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9" fillId="0" borderId="0" xfId="0" applyFont="1" applyNumberFormat="1">
      <alignment vertical="center"/>
    </xf>
    <xf numFmtId="0" fontId="23" fillId="44" borderId="0" xfId="0" applyFont="1" applyFill="1" applyNumberFormat="1">
      <alignment horizontal="center" vertical="center" wrapText="1"/>
    </xf>
    <xf numFmtId="0" fontId="23" fillId="0" borderId="0" xfId="0" applyFont="1" applyNumberFormat="1">
      <alignment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80" fillId="0" borderId="14" xfId="0" applyFont="1" applyBorder="1" applyNumberFormat="1">
      <alignment horizontal="center" vertical="center" wrapText="1"/>
    </xf>
    <xf numFmtId="0" fontId="23" fillId="0" borderId="0" xfId="0" applyFont="1" applyNumberFormat="1">
      <alignment horizontal="center" vertical="center" wrapText="1"/>
    </xf>
    <xf numFmtId="0" fontId="87"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54" fillId="0" borderId="24" xfId="0" applyFont="1" applyBorder="1" applyNumberFormat="1">
      <alignment vertical="center"/>
    </xf>
    <xf numFmtId="0" fontId="0" fillId="0" borderId="0" xfId="0" applyFont="1" applyNumberFormat="1">
      <alignment vertical="center"/>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54" fillId="0" borderId="24" xfId="0" applyFont="1" applyBorder="1" applyNumberFormat="1">
      <alignment vertical="center"/>
    </xf>
    <xf numFmtId="0" fontId="55"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43" xfId="0" applyFont="1" applyFill="1" applyBorder="1" applyNumberFormat="1">
      <alignment horizontal="center" vertical="center" wrapText="1"/>
    </xf>
    <xf numFmtId="49" fontId="0" fillId="40" borderId="17" xfId="0" applyFont="1" applyFill="1" applyBorder="1" applyNumberFormat="1">
      <alignment horizontal="left" vertical="center"/>
    </xf>
    <xf numFmtId="0" fontId="0" fillId="40" borderId="15"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24" xfId="0" applyFont="1" applyBorder="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1"/>
      <protection locked="0"/>
    </xf>
    <xf numFmtId="49" fontId="48" fillId="40" borderId="15" xfId="0" applyFont="1" applyFill="1" applyBorder="1" applyNumberFormat="1">
      <alignment horizontal="left" vertical="center" indent="1"/>
    </xf>
    <xf numFmtId="0" fontId="23" fillId="43" borderId="25" xfId="0" applyFont="1" applyFill="1" applyBorder="1" applyNumberFormat="1">
      <alignment horizontal="left" vertical="center" wrapText="1" indent="2"/>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8" fillId="40" borderId="17" xfId="0" applyFont="1" applyFill="1" applyBorder="1" applyNumberFormat="1">
      <alignment horizontal="left" vertical="center" indent="2"/>
    </xf>
    <xf numFmtId="0" fontId="0" fillId="0" borderId="0" xfId="0" applyFont="1" applyNumberFormat="1">
      <alignment vertical="center"/>
    </xf>
    <xf numFmtId="0" fontId="54"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49" fillId="0" borderId="0" xfId="0" applyFont="1" applyNumberFormat="1">
      <alignment vertical="center"/>
    </xf>
    <xf numFmtId="0" fontId="56" fillId="0" borderId="0" xfId="0" applyFont="1" applyNumberFormat="1">
      <alignment vertical="center"/>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69"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3" fillId="0" borderId="0" xfId="0" applyFont="1" applyNumberFormat="1">
      <alignment vertical="center"/>
    </xf>
    <xf numFmtId="0" fontId="23" fillId="0" borderId="29" xfId="0" applyFont="1" applyBorder="1" applyNumberFormat="1">
      <alignment horizontal="left" vertical="center" indent="1"/>
    </xf>
    <xf numFmtId="0" fontId="72" fillId="0" borderId="0" xfId="0" applyFont="1" applyNumberFormat="1">
      <alignment vertical="center"/>
    </xf>
    <xf numFmtId="0" fontId="55" fillId="0" borderId="0" xfId="0" applyFont="1" applyNumberFormat="1">
      <alignment vertical="center"/>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72"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9" fillId="0" borderId="0" xfId="0" applyFont="1" applyNumberFormat="1">
      <alignment vertical="center"/>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xf>
    <xf numFmtId="0" fontId="55" fillId="0" borderId="0" xfId="0" applyFont="1" applyNumberFormat="1">
      <alignment vertical="center"/>
    </xf>
    <xf numFmtId="49" fontId="55" fillId="37" borderId="0" xfId="0" applyFont="1" applyFill="1" applyNumberFormat="1">
      <alignment horizontal="center" vertical="center" wrapText="1"/>
    </xf>
    <xf numFmtId="49" fontId="55" fillId="37" borderId="29" xfId="0" applyFont="1" applyFill="1" applyBorder="1" applyNumberFormat="1">
      <alignment horizontal="center" vertical="center" wrapText="1"/>
    </xf>
    <xf numFmtId="0" fontId="45" fillId="0" borderId="0" xfId="0" applyFont="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4" xfId="0" applyFont="1" applyBorder="1" applyNumberFormat="1">
      <alignment horizontal="center" vertical="top"/>
    </xf>
    <xf numFmtId="0" fontId="23" fillId="0" borderId="14" xfId="0" applyFont="1" applyBorder="1" applyNumberFormat="1">
      <alignment horizontal="left" vertical="top" wrapText="1"/>
    </xf>
    <xf numFmtId="0" fontId="23" fillId="43" borderId="19"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22"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3" borderId="38" xfId="0" applyFont="1" applyFill="1" applyBorder="1" applyNumberFormat="1">
      <alignment horizontal="center" vertical="top" wrapText="1"/>
    </xf>
    <xf numFmtId="0" fontId="0" fillId="0" borderId="24"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horizontal="left" vertical="top"/>
    </xf>
    <xf numFmtId="0" fontId="23" fillId="43" borderId="25" xfId="0" applyFont="1" applyFill="1" applyBorder="1" applyNumberFormat="1">
      <alignment horizontal="center" vertical="top" wrapText="1"/>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9" xfId="0" applyFont="1" applyBorder="1" applyNumberFormat="1">
      <alignment horizontal="center" vertical="top"/>
    </xf>
    <xf numFmtId="0" fontId="23" fillId="0" borderId="19" xfId="0" applyFont="1" applyBorder="1" applyNumberFormat="1">
      <alignment horizontal="left" vertical="top" wrapText="1"/>
    </xf>
    <xf numFmtId="0" fontId="0" fillId="0" borderId="38" xfId="0" applyFont="1" applyBorder="1" applyNumberFormat="1">
      <alignment horizontal="center" vertical="top"/>
    </xf>
    <xf numFmtId="0" fontId="23" fillId="0" borderId="38" xfId="0" applyFont="1" applyBorder="1" applyNumberFormat="1">
      <alignment horizontal="left" vertical="top" wrapText="1"/>
    </xf>
    <xf numFmtId="0" fontId="0" fillId="0" borderId="25" xfId="0" applyFont="1" applyBorder="1" applyNumberFormat="1">
      <alignment horizontal="center" vertical="top"/>
    </xf>
    <xf numFmtId="0" fontId="23" fillId="0" borderId="25" xfId="0" applyFont="1" applyBorder="1" applyNumberFormat="1">
      <alignment horizontal="left" vertical="top"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43" borderId="14" xfId="0" applyFont="1" applyFill="1" applyBorder="1" applyNumberFormat="1">
      <alignment horizontal="left" vertical="top" wrapText="1"/>
    </xf>
    <xf numFmtId="0" fontId="0"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49" fontId="23" fillId="43" borderId="19"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0" fillId="43" borderId="14"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49" fontId="23" fillId="43" borderId="38" xfId="0" applyFont="1" applyFill="1" applyBorder="1" applyNumberFormat="1">
      <alignment horizontal="center"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0" fillId="0" borderId="14" xfId="0" applyFont="1" applyBorder="1" applyNumberFormat="1">
      <alignment vertical="top"/>
    </xf>
    <xf numFmtId="49" fontId="0" fillId="39" borderId="14" xfId="0" applyFont="1" applyFill="1" applyBorder="1" applyNumberFormat="1">
      <alignment horizontal="left" vertical="top"/>
      <protection locked="0"/>
    </xf>
    <xf numFmtId="49" fontId="0" fillId="43" borderId="14" xfId="0" applyFont="1" applyFill="1" applyBorder="1" applyNumberFormat="1">
      <alignment horizontal="left" vertical="center" wrapText="1"/>
      <protection locked="0"/>
    </xf>
    <xf numFmtId="49" fontId="23" fillId="43" borderId="25" xfId="0" applyFont="1" applyFill="1" applyBorder="1" applyNumberFormat="1">
      <alignment horizontal="center" vertical="center" wrapText="1"/>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31" xfId="0" applyFont="1" applyFill="1" applyBorder="1" applyNumberFormat="1">
      <alignment horizontal="left" vertical="center"/>
    </xf>
    <xf numFmtId="49" fontId="0" fillId="0" borderId="0" xfId="0" applyFont="1" applyNumberFormat="1">
      <alignment vertical="center"/>
    </xf>
    <xf numFmtId="0" fontId="0" fillId="0" borderId="0" xfId="0" applyFont="1" applyNumberFormat="1">
      <alignment vertical="center"/>
    </xf>
    <xf numFmtId="0" fontId="45" fillId="0" borderId="0" xfId="0" applyFont="1" applyNumberFormat="1">
      <alignment horizontal="center" vertical="center" wrapText="1"/>
    </xf>
    <xf numFmtId="49" fontId="0" fillId="0" borderId="38" xfId="0" applyFont="1" applyBorder="1" applyNumberFormat="1">
      <alignment vertical="top"/>
    </xf>
    <xf numFmtId="49" fontId="0" fillId="0" borderId="38" xfId="0" applyFont="1" applyBorder="1" applyNumberFormat="1">
      <alignment horizontal="left" vertical="top"/>
    </xf>
    <xf numFmtId="0" fontId="23" fillId="43" borderId="38" xfId="0" applyFont="1" applyFill="1" applyBorder="1" applyNumberFormat="1">
      <alignment horizontal="center" vertical="top" wrapText="1"/>
    </xf>
    <xf numFmtId="49" fontId="0" fillId="43" borderId="38" xfId="0" applyFont="1" applyFill="1" applyBorder="1" applyNumberFormat="1">
      <alignment horizontal="left" vertical="top"/>
    </xf>
    <xf numFmtId="49" fontId="0" fillId="39" borderId="38" xfId="0" applyFont="1" applyFill="1" applyBorder="1" applyNumberFormat="1">
      <alignment vertical="top"/>
      <protection locked="0"/>
    </xf>
    <xf numFmtId="0" fontId="0" fillId="43" borderId="14" xfId="0" applyFont="1" applyFill="1" applyBorder="1" applyNumberFormat="1">
      <alignment horizontal="left" vertical="center" wrapText="1"/>
      <protection locked="0"/>
    </xf>
    <xf numFmtId="49" fontId="23" fillId="43" borderId="19" xfId="0" applyFont="1" applyFill="1" applyBorder="1" applyNumberFormat="1">
      <alignment horizontal="center" vertical="center" wrapText="1"/>
    </xf>
    <xf numFmtId="49" fontId="0" fillId="37" borderId="14" xfId="0" applyFont="1" applyFill="1" applyBorder="1" applyNumberFormat="1">
      <alignment horizontal="left" vertical="center" wrapText="1"/>
    </xf>
    <xf numFmtId="49"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49" fontId="23" fillId="39" borderId="14" xfId="0" applyFont="1" applyFill="1" applyBorder="1" applyNumberFormat="1">
      <alignment horizontal="left" vertical="center" wrapText="1"/>
      <protection locked="0"/>
    </xf>
    <xf numFmtId="0" fontId="23" fillId="0" borderId="0" xfId="0" applyFont="1" applyNumberFormat="1">
      <alignment horizontal="left" vertical="center" indent="1"/>
    </xf>
    <xf numFmtId="0" fontId="0" fillId="0" borderId="0" xfId="0" applyFont="1" applyNumberFormat="1">
      <alignment horizontal="left" vertical="center" indent="1"/>
    </xf>
    <xf numFmtId="0" fontId="0" fillId="0" borderId="0" xfId="0" applyFont="1" applyNumberFormat="1">
      <alignment vertical="center"/>
    </xf>
    <xf numFmtId="49" fontId="23" fillId="43" borderId="38" xfId="0" applyFont="1" applyFill="1" applyBorder="1" applyNumberFormat="1">
      <alignment horizontal="center"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0" fillId="0" borderId="14" xfId="0" applyFont="1" applyBorder="1" applyNumberFormat="1">
      <alignment vertical="top"/>
    </xf>
    <xf numFmtId="49" fontId="0" fillId="43" borderId="14" xfId="0" applyFont="1" applyFill="1" applyBorder="1" applyNumberFormat="1">
      <alignment horizontal="left" vertical="center" wrapText="1"/>
      <protection locked="0"/>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48" fillId="40" borderId="31" xfId="0" applyFont="1" applyFill="1" applyBorder="1" applyNumberFormat="1">
      <alignment horizontal="left" vertical="center"/>
    </xf>
    <xf numFmtId="49" fontId="0" fillId="42" borderId="14" xfId="0" applyFont="1" applyFill="1" applyBorder="1" applyNumberFormat="1">
      <alignment horizontal="left" vertical="center" wrapText="1"/>
      <protection locked="0"/>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0" fontId="0" fillId="0" borderId="14" xfId="0" applyFont="1" applyBorder="1" applyNumberFormat="1">
      <alignment horizontal="center" vertical="center"/>
    </xf>
    <xf numFmtId="49" fontId="0" fillId="39" borderId="14" xfId="0" applyFont="1" applyFill="1" applyBorder="1" applyNumberFormat="1">
      <alignment horizontal="left" vertical="top"/>
      <protection locked="0"/>
    </xf>
    <xf numFmtId="0" fontId="48" fillId="40" borderId="15" xfId="0" applyFont="1" applyFill="1" applyBorder="1" applyNumberFormat="1">
      <alignment horizontal="left" vertical="center"/>
    </xf>
    <xf numFmtId="49" fontId="0" fillId="43" borderId="14" xfId="0" applyFont="1" applyFill="1" applyBorder="1" applyNumberFormat="1">
      <alignment horizontal="left" vertical="top"/>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5" fillId="0" borderId="0" xfId="0" applyFont="1" applyNumberFormat="1">
      <alignment vertical="top"/>
    </xf>
    <xf numFmtId="49" fontId="55" fillId="0" borderId="0" xfId="0" applyFont="1" applyNumberFormat="1">
      <alignment horizontal="center" vertical="center"/>
    </xf>
    <xf numFmtId="49" fontId="55" fillId="0" borderId="0" xfId="0" applyFont="1" applyNumberFormat="1">
      <alignment horizontal="center" vertical="center"/>
    </xf>
    <xf numFmtId="49" fontId="54" fillId="0" borderId="0" xfId="0" applyFont="1" applyNumberFormat="1">
      <alignment horizontal="center" vertical="center"/>
    </xf>
    <xf numFmtId="49" fontId="72"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2" fillId="0" borderId="0" xfId="0" applyFont="1" applyNumberFormat="1">
      <alignment horizontal="left" vertical="center" wrapText="1" indent="1"/>
    </xf>
    <xf numFmtId="0" fontId="50" fillId="0" borderId="0" xfId="0" applyFont="1" applyNumberFormat="1">
      <alignment vertical="center"/>
    </xf>
    <xf numFmtId="0" fontId="118" fillId="0" borderId="0" xfId="0" applyFont="1" applyNumberFormat="1">
      <alignment vertical="center" wrapText="1"/>
    </xf>
    <xf numFmtId="0" fontId="119" fillId="0" borderId="0" xfId="0" applyFont="1" applyNumberFormat="1">
      <alignment vertical="center" wrapText="1"/>
    </xf>
    <xf numFmtId="0" fontId="5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49" fontId="23" fillId="0" borderId="0" xfId="0" applyFont="1" applyNumberFormat="1">
      <alignment vertical="top"/>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xf>
    <xf numFmtId="49" fontId="23" fillId="0" borderId="39" xfId="0" applyFont="1" applyBorder="1" applyNumberFormat="1">
      <alignment vertical="center" wrapText="1"/>
    </xf>
    <xf numFmtId="0" fontId="23"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21" xfId="0" applyFont="1" applyBorder="1" applyNumberFormat="1">
      <alignment vertical="center" wrapText="1"/>
    </xf>
    <xf numFmtId="49" fontId="23" fillId="0" borderId="24"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49" fontId="45" fillId="0" borderId="0" xfId="0" applyFont="1" applyNumberFormat="1">
      <alignment horizontal="center" vertical="center" wrapText="1"/>
    </xf>
    <xf numFmtId="0" fontId="48" fillId="0" borderId="0" xfId="0" applyFont="1" applyNumberFormat="1">
      <alignment vertical="center"/>
    </xf>
    <xf numFmtId="0" fontId="48" fillId="0" borderId="24" xfId="0" applyFont="1" applyBorder="1" applyNumberFormat="1">
      <alignment horizontal="left" vertical="center"/>
    </xf>
    <xf numFmtId="49" fontId="23" fillId="0" borderId="19" xfId="0" applyFont="1" applyBorder="1" applyNumberFormat="1">
      <alignment horizontal="center" vertical="center"/>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72" fillId="0" borderId="32" xfId="0" applyFont="1" applyBorder="1" applyNumberFormat="1">
      <alignment vertical="top"/>
    </xf>
    <xf numFmtId="49" fontId="72" fillId="0" borderId="29" xfId="0" applyFont="1" applyBorder="1" applyNumberFormat="1">
      <alignment vertical="top"/>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6"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23" fillId="37" borderId="0" xfId="0" applyFont="1" applyFill="1" applyNumberFormat="1"/>
    <xf numFmtId="0" fontId="66" fillId="37" borderId="0" xfId="0" applyFont="1" applyFill="1" applyNumberFormat="1"/>
    <xf numFmtId="0" fontId="55" fillId="37" borderId="0" xfId="0" applyFont="1" applyFill="1" applyNumberFormat="1"/>
    <xf numFmtId="0" fontId="66" fillId="37" borderId="0" xfId="0" applyFont="1" applyFill="1" applyNumberFormat="1">
      <alignment horizontal="center"/>
    </xf>
    <xf numFmtId="0" fontId="95" fillId="0" borderId="0" xfId="0" applyFont="1" applyNumberFormat="1">
      <alignment vertical="center"/>
    </xf>
    <xf numFmtId="0" fontId="94" fillId="0" borderId="0" xfId="0" applyFont="1" applyNumberFormat="1">
      <alignment vertical="center"/>
    </xf>
    <xf numFmtId="0" fontId="78" fillId="37" borderId="0" xfId="0" applyFont="1" applyFill="1" applyNumberFormat="1">
      <alignment horizontal="right" vertical="center"/>
    </xf>
    <xf numFmtId="0" fontId="23" fillId="37" borderId="0" xfId="0" applyFont="1" applyFill="1" applyNumberFormat="1">
      <alignment vertical="center" wrapText="1"/>
    </xf>
    <xf numFmtId="0" fontId="55" fillId="37" borderId="0" xfId="0" applyFont="1" applyFill="1" applyNumberFormat="1">
      <alignment vertical="center" wrapText="1"/>
    </xf>
    <xf numFmtId="0" fontId="23" fillId="37" borderId="0" xfId="0" applyFont="1" applyFill="1" applyNumberFormat="1">
      <alignment horizontal="center" vertical="center" wrapText="1"/>
    </xf>
    <xf numFmtId="0" fontId="98" fillId="37" borderId="0" xfId="0" applyFont="1" applyFill="1" applyNumberFormat="1">
      <alignment horizontal="left" vertical="center"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44" fillId="37" borderId="0" xfId="0" applyFont="1" applyFill="1" applyNumberFormat="1">
      <alignment horizontal="center" vertical="center"/>
    </xf>
    <xf numFmtId="49" fontId="55" fillId="0" borderId="14" xfId="0" applyFont="1" applyBorder="1" applyNumberFormat="1">
      <alignment horizontal="center" vertical="center"/>
    </xf>
    <xf numFmtId="0" fontId="55" fillId="0" borderId="14" xfId="0" applyFont="1" applyBorder="1" applyNumberFormat="1">
      <alignment vertical="center" wrapText="1"/>
    </xf>
    <xf numFmtId="0" fontId="55" fillId="0" borderId="14" xfId="0" applyFont="1" applyBorder="1" applyNumberFormat="1">
      <alignment horizontal="left" vertical="center" wrapText="1"/>
    </xf>
    <xf numFmtId="0" fontId="70" fillId="37" borderId="0" xfId="0" applyFont="1" applyFill="1" applyNumberFormat="1"/>
    <xf numFmtId="49" fontId="0" fillId="37" borderId="14" xfId="0" applyFont="1" applyFill="1" applyBorder="1" applyNumberFormat="1">
      <alignment horizontal="center" vertical="center"/>
    </xf>
    <xf numFmtId="0" fontId="0" fillId="37" borderId="14" xfId="0" applyFont="1" applyFill="1" applyBorder="1" applyNumberFormat="1">
      <alignment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vertical="center" wrapText="1"/>
    </xf>
    <xf numFmtId="0" fontId="0" fillId="37" borderId="14" xfId="0" applyFont="1" applyFill="1" applyBorder="1" applyNumberFormat="1">
      <alignment horizontal="left" vertical="center" wrapText="1" indent="1"/>
    </xf>
    <xf numFmtId="49" fontId="0" fillId="42" borderId="14" xfId="0" applyFont="1" applyFill="1" applyBorder="1" applyNumberFormat="1">
      <alignment horizontal="left" vertical="center" wrapText="1"/>
      <protection locked="0"/>
    </xf>
    <xf numFmtId="0" fontId="55" fillId="0" borderId="14"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95" fillId="0" borderId="0" xfId="0" applyFont="1" applyNumberFormat="1">
      <alignment vertical="center" wrapText="1"/>
    </xf>
    <xf numFmtId="0" fontId="0" fillId="37" borderId="14" xfId="0" applyFont="1" applyFill="1" applyBorder="1" applyNumberFormat="1">
      <alignment horizontal="center" vertical="center"/>
    </xf>
    <xf numFmtId="0" fontId="0" fillId="37" borderId="14" xfId="0" applyFont="1" applyFill="1" applyBorder="1" applyNumberFormat="1">
      <alignment horizontal="left" vertical="center" wrapText="1" indent="2"/>
    </xf>
    <xf numFmtId="49" fontId="0" fillId="0" borderId="14" xfId="0" applyFont="1" applyBorder="1" applyNumberFormat="1">
      <alignment horizontal="left" vertical="center" wrapText="1"/>
    </xf>
    <xf numFmtId="167" fontId="0" fillId="0" borderId="14" xfId="0" applyFont="1" applyBorder="1" applyNumberFormat="1">
      <alignment horizontal="left" vertical="center" wrapText="1" indent="1"/>
    </xf>
    <xf numFmtId="49" fontId="23" fillId="37" borderId="0" xfId="0" applyFont="1" applyFill="1" applyNumberFormat="1">
      <alignment vertical="center" wrapText="1"/>
    </xf>
    <xf numFmtId="0" fontId="23" fillId="37" borderId="26" xfId="0" applyFont="1" applyFill="1" applyBorder="1" applyNumberFormat="1">
      <alignment vertical="center" wrapText="1"/>
    </xf>
    <xf numFmtId="0" fontId="23" fillId="40" borderId="16" xfId="0" applyFont="1" applyFill="1" applyBorder="1" applyNumberFormat="1">
      <alignment horizontal="center"/>
    </xf>
    <xf numFmtId="49" fontId="48" fillId="40" borderId="17" xfId="0" applyFont="1" applyFill="1" applyBorder="1" applyNumberFormat="1">
      <alignment horizontal="left" vertical="center" indent="1"/>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0" fontId="55" fillId="37" borderId="0" xfId="0" applyFont="1" applyFill="1" applyNumberFormat="1"/>
    <xf numFmtId="49" fontId="55" fillId="37" borderId="14" xfId="0" applyFont="1" applyFill="1" applyBorder="1" applyNumberFormat="1">
      <alignment horizontal="center" vertical="center"/>
    </xf>
    <xf numFmtId="0" fontId="55" fillId="37" borderId="14" xfId="0" applyFont="1" applyFill="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0" fontId="0" fillId="37" borderId="14" xfId="0" applyFont="1" applyFill="1" applyBorder="1" applyNumberFormat="1">
      <alignment horizontal="left" vertical="center" wrapText="1"/>
    </xf>
    <xf numFmtId="49" fontId="0" fillId="39" borderId="14" xfId="0" applyFont="1" applyFill="1" applyBorder="1" applyNumberFormat="1">
      <alignment horizontal="left" vertical="center" wrapText="1"/>
      <protection locked="0"/>
    </xf>
    <xf numFmtId="0" fontId="0" fillId="37" borderId="19" xfId="0" applyFont="1" applyFill="1" applyBorder="1" applyNumberFormat="1">
      <alignment horizontal="left" vertical="center" wrapText="1"/>
    </xf>
    <xf numFmtId="0" fontId="23" fillId="37" borderId="19" xfId="0" applyFont="1" applyFill="1" applyBorder="1" applyNumberFormat="1">
      <alignment horizontal="left" vertical="top" wrapText="1"/>
    </xf>
    <xf numFmtId="49" fontId="0" fillId="0" borderId="14" xfId="0" applyFont="1" applyBorder="1" applyNumberFormat="1">
      <alignment horizontal="left" vertical="center" wrapText="1" indent="1"/>
    </xf>
    <xf numFmtId="0" fontId="23" fillId="37" borderId="38" xfId="0" applyFont="1" applyFill="1" applyBorder="1" applyNumberFormat="1">
      <alignment horizontal="left" vertical="top" wrapText="1"/>
    </xf>
    <xf numFmtId="0" fontId="45" fillId="37" borderId="0" xfId="0" applyFont="1" applyFill="1" applyNumberFormat="1">
      <alignment horizontal="center" vertical="center"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37" borderId="25" xfId="0" applyFont="1" applyFill="1" applyBorder="1" applyNumberFormat="1">
      <alignment horizontal="left" vertical="top" wrapText="1"/>
    </xf>
    <xf numFmtId="0" fontId="58" fillId="37" borderId="0" xfId="0" applyFont="1" applyFill="1" applyNumberFormat="1"/>
    <xf numFmtId="49" fontId="23" fillId="42" borderId="14" xfId="0" applyFont="1" applyFill="1" applyBorder="1" applyNumberFormat="1" quotePrefix="1">
      <alignment horizontal="left" vertical="center" wrapText="1"/>
      <protection locked="0"/>
    </xf>
    <xf numFmtId="49" fontId="23" fillId="39"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0" fillId="37" borderId="16" xfId="0" applyFont="1" applyFill="1" applyBorder="1" applyNumberFormat="1">
      <alignment horizontal="left" vertical="center" wrapText="1" indent="1"/>
    </xf>
    <xf numFmtId="49" fontId="23" fillId="43" borderId="16" xfId="0" applyFont="1" applyFill="1" applyBorder="1" applyNumberFormat="1">
      <alignment horizontal="left" vertical="center" wrapText="1"/>
    </xf>
    <xf numFmtId="0" fontId="0" fillId="37" borderId="14" xfId="0" applyFont="1" applyFill="1" applyBorder="1" applyNumberFormat="1">
      <alignment vertical="top" wrapText="1"/>
    </xf>
    <xf numFmtId="49" fontId="23" fillId="37" borderId="0" xfId="0" applyFont="1" applyFill="1" applyNumberFormat="1">
      <alignment horizontal="center" vertical="center" wrapText="1"/>
    </xf>
    <xf numFmtId="0" fontId="0" fillId="37" borderId="16" xfId="0" applyFont="1" applyFill="1" applyBorder="1" applyNumberFormat="1">
      <alignment horizontal="left" vertical="center" wrapText="1"/>
    </xf>
    <xf numFmtId="0" fontId="0" fillId="37" borderId="25" xfId="0" applyFont="1" applyFill="1" applyBorder="1" applyNumberFormat="1">
      <alignment vertical="center" wrapText="1"/>
    </xf>
    <xf numFmtId="0" fontId="81" fillId="37" borderId="0" xfId="0" applyFont="1" applyFill="1" applyNumberFormat="1"/>
    <xf numFmtId="0" fontId="23" fillId="0" borderId="0" xfId="0" applyFont="1" applyNumberFormat="1">
      <alignment vertical="top" wrapText="1"/>
    </xf>
    <xf numFmtId="0" fontId="55" fillId="0" borderId="0" xfId="0" applyFont="1" applyNumberFormat="1">
      <alignment vertical="center" wrapText="1"/>
    </xf>
    <xf numFmtId="0" fontId="53" fillId="0" borderId="0" xfId="0" applyFont="1" applyNumberFormat="1">
      <alignment horizontal="right" vertical="top" wrapText="1"/>
    </xf>
    <xf numFmtId="0" fontId="53" fillId="0" borderId="0" xfId="0" applyFont="1" applyNumberFormat="1">
      <alignment horizontal="left" vertical="top" wrapText="1" indent="1"/>
    </xf>
    <xf numFmtId="0" fontId="53" fillId="0" borderId="0" xfId="0" applyFont="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2" fillId="37" borderId="0" xfId="0" applyFont="1" applyFill="1" applyNumberFormat="1">
      <alignment horizontal="right" vertical="center"/>
    </xf>
    <xf numFmtId="0" fontId="83" fillId="37" borderId="0" xfId="0" applyFont="1" applyFill="1" applyNumberFormat="1">
      <alignment vertical="center"/>
    </xf>
    <xf numFmtId="0" fontId="82" fillId="37" borderId="0" xfId="0" applyFont="1" applyFill="1" applyNumberFormat="1">
      <alignment horizontal="right" vertical="top"/>
    </xf>
    <xf numFmtId="0" fontId="83"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45" fillId="37" borderId="0" xfId="0" applyFont="1" applyFill="1" applyNumberFormat="1">
      <alignment horizontal="center" vertical="center" wrapText="1"/>
    </xf>
    <xf numFmtId="0" fontId="22" fillId="0" borderId="0" xfId="0" applyFont="1" applyNumberFormat="1">
      <alignment horizontal="left" vertical="center" wrapText="1" indent="3"/>
    </xf>
    <xf numFmtId="0" fontId="69" fillId="0" borderId="0" xfId="0" applyFont="1" applyNumberFormat="1">
      <alignment horizontal="center" vertical="center" wrapText="1"/>
    </xf>
    <xf numFmtId="0" fontId="69" fillId="0" borderId="0" xfId="0" applyFont="1" applyNumberFormat="1">
      <alignment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65" fillId="0" borderId="0" xfId="0" applyFont="1" applyNumberFormat="1">
      <alignment vertical="center" wrapText="1"/>
    </xf>
    <xf numFmtId="0" fontId="63" fillId="0" borderId="0" xfId="0" applyFont="1" applyNumberFormat="1">
      <alignment vertical="center" wrapText="1"/>
    </xf>
    <xf numFmtId="0" fontId="84" fillId="37" borderId="0" xfId="0" applyFont="1" applyFill="1" applyNumberFormat="1">
      <alignment horizontal="center" vertical="center" wrapText="1"/>
    </xf>
    <xf numFmtId="0" fontId="65" fillId="0" borderId="0" xfId="0" applyFont="1" applyNumberFormat="1">
      <alignment horizontal="left" vertical="center" wrapText="1" indent="1"/>
    </xf>
    <xf numFmtId="0" fontId="23" fillId="0" borderId="0" xfId="0" applyFont="1" applyNumberFormat="1">
      <alignment horizontal="right" vertical="center"/>
    </xf>
    <xf numFmtId="0" fontId="55" fillId="0" borderId="0" xfId="0" applyFont="1" applyNumberFormat="1">
      <alignment vertical="center" wrapText="1"/>
    </xf>
    <xf numFmtId="0" fontId="0"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44" fillId="37" borderId="0" xfId="0" applyFont="1" applyFill="1" applyNumberFormat="1">
      <alignment horizontal="center" vertical="center" wrapText="1"/>
    </xf>
    <xf numFmtId="49" fontId="44" fillId="37" borderId="0" xfId="0" applyFont="1" applyFill="1" applyNumberFormat="1">
      <alignment horizontal="center" vertical="center" wrapText="1"/>
    </xf>
    <xf numFmtId="0" fontId="23" fillId="0" borderId="0" xfId="0" applyFont="1" applyNumberFormat="1">
      <alignment vertical="center" wrapText="1"/>
    </xf>
    <xf numFmtId="0" fontId="77" fillId="0" borderId="0" xfId="0" applyFont="1" applyNumberFormat="1">
      <alignmen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49" fontId="77" fillId="0" borderId="14" xfId="0" applyFont="1" applyBorder="1" applyNumberFormat="1">
      <alignment horizontal="left" vertical="center" wrapText="1"/>
    </xf>
    <xf numFmtId="49" fontId="0" fillId="0" borderId="14" xfId="0" applyFont="1" applyBorder="1" applyNumberFormat="1">
      <alignment vertical="top" wrapText="1"/>
    </xf>
    <xf numFmtId="49" fontId="0" fillId="0" borderId="14" xfId="0" applyFont="1" applyBorder="1" applyNumberFormat="1">
      <alignment horizontal="center" vertical="center" wrapText="1"/>
    </xf>
    <xf numFmtId="49" fontId="0" fillId="39"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 fontId="0" fillId="42"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 fontId="0" fillId="42" borderId="15" xfId="0" applyFont="1" applyFill="1" applyBorder="1" applyNumberFormat="1">
      <alignment horizontal="right" vertical="center" wrapText="1"/>
      <protection locked="0"/>
    </xf>
    <xf numFmtId="0" fontId="0" fillId="39" borderId="14" xfId="0" applyFont="1" applyFill="1" applyBorder="1" applyNumberFormat="1">
      <alignment horizontal="right" vertical="center" wrapText="1"/>
      <protection locked="0"/>
    </xf>
    <xf numFmtId="3" fontId="0" fillId="0" borderId="15" xfId="0" applyFont="1" applyBorder="1" applyNumberFormat="1">
      <alignment horizontal="right" vertical="center" wrapText="1"/>
    </xf>
    <xf numFmtId="0" fontId="0" fillId="0" borderId="19" xfId="0" applyFont="1" applyBorder="1" applyNumberFormat="1">
      <alignment horizontal="left" vertical="top" wrapText="1"/>
    </xf>
    <xf numFmtId="49" fontId="36" fillId="40" borderId="16" xfId="0" applyFont="1" applyFill="1" applyBorder="1" applyNumberFormat="1">
      <alignment horizontal="center" vertical="center"/>
    </xf>
    <xf numFmtId="0" fontId="48" fillId="40" borderId="17" xfId="0" applyFont="1" applyFill="1" applyBorder="1" applyNumberFormat="1">
      <alignment vertical="center"/>
    </xf>
    <xf numFmtId="49" fontId="48" fillId="40" borderId="17" xfId="0" applyFont="1" applyFill="1" applyBorder="1" applyNumberFormat="1">
      <alignment vertical="center"/>
    </xf>
    <xf numFmtId="49" fontId="78" fillId="40" borderId="17" xfId="0" applyFont="1" applyFill="1" applyBorder="1" applyNumberFormat="1">
      <alignment vertical="center"/>
    </xf>
    <xf numFmtId="49" fontId="78" fillId="40" borderId="15" xfId="0" applyFont="1" applyFill="1" applyBorder="1" applyNumberFormat="1">
      <alignment vertical="center"/>
    </xf>
    <xf numFmtId="0" fontId="0" fillId="0" borderId="25" xfId="0" applyFont="1" applyBorder="1" applyNumberFormat="1">
      <alignment horizontal="left" vertical="top" wrapText="1"/>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0" fillId="0" borderId="0" xfId="0" applyFont="1" applyNumberFormat="1">
      <alignment vertical="center" wrapText="1"/>
    </xf>
    <xf numFmtId="0" fontId="55" fillId="0" borderId="0" xfId="0" applyFont="1" applyNumberFormat="1">
      <alignment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0" fillId="0" borderId="39" xfId="0" applyFont="1" applyBorder="1" applyNumberFormat="1">
      <alignment horizontal="center" vertical="center" wrapText="1"/>
    </xf>
    <xf numFmtId="0" fontId="23" fillId="43" borderId="21" xfId="0" applyFont="1" applyFill="1" applyBorder="1" applyNumberFormat="1">
      <alignment horizontal="lef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49" fontId="0" fillId="0" borderId="32" xfId="0" applyFont="1" applyBorder="1" applyNumberFormat="1">
      <alignment horizontal="center" vertical="center" wrapText="1"/>
    </xf>
    <xf numFmtId="0" fontId="23" fillId="43" borderId="29" xfId="0" applyFont="1" applyFill="1" applyBorder="1" applyNumberFormat="1">
      <alignment horizontal="left" vertical="center" wrapText="1"/>
    </xf>
    <xf numFmtId="0" fontId="93" fillId="0" borderId="0" xfId="0" applyFont="1" applyNumberFormat="1">
      <alignment vertical="center" wrapText="1"/>
    </xf>
    <xf numFmtId="0" fontId="55" fillId="0" borderId="0" xfId="0" applyFont="1" applyNumberFormat="1">
      <alignment vertical="center" wrapText="1"/>
    </xf>
    <xf numFmtId="0" fontId="45" fillId="37" borderId="0" xfId="0" applyFont="1" applyFill="1" applyNumberFormat="1">
      <alignment horizontal="center" vertical="center" wrapText="1"/>
    </xf>
    <xf numFmtId="0" fontId="23" fillId="0" borderId="21" xfId="0" applyFont="1" applyBorder="1" applyNumberFormat="1">
      <alignment horizontal="left" vertical="top" wrapText="1" indent="1"/>
    </xf>
    <xf numFmtId="0" fontId="69"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vertical="center" wrapText="1"/>
    </xf>
    <xf numFmtId="0" fontId="23" fillId="0" borderId="25" xfId="0" applyFont="1" applyBorder="1" applyNumberFormat="1">
      <alignment horizontal="center" vertical="center" wrapText="1"/>
    </xf>
    <xf numFmtId="0" fontId="23" fillId="0" borderId="0" xfId="0" applyFont="1" applyNumberFormat="1">
      <alignmen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2" fillId="0" borderId="0" xfId="0" applyFont="1" applyNumberFormat="1">
      <alignment horizontal="center" vertical="center" wrapText="1"/>
    </xf>
    <xf numFmtId="0" fontId="50" fillId="0" borderId="0" xfId="0" applyFont="1" applyNumberFormat="1">
      <alignment vertical="center" wrapText="1"/>
    </xf>
    <xf numFmtId="4" fontId="65" fillId="0" borderId="0" xfId="0" applyFont="1" applyNumberFormat="1">
      <alignment horizontal="right"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4" fillId="37" borderId="17" xfId="0" applyFont="1" applyFill="1" applyBorder="1" applyNumberFormat="1">
      <alignment horizontal="center" vertical="center" wrapText="1"/>
    </xf>
    <xf numFmtId="49" fontId="44" fillId="37" borderId="17" xfId="0" applyFont="1" applyFill="1" applyBorder="1" applyNumberFormat="1">
      <alignment horizontal="center"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top"/>
    </xf>
    <xf numFmtId="0" fontId="45" fillId="37" borderId="26" xfId="0" applyFont="1" applyFill="1" applyBorder="1" applyNumberFormat="1">
      <alignment vertical="top"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49" fontId="34" fillId="40" borderId="15" xfId="0" applyFont="1" applyFill="1" applyBorder="1" applyNumberFormat="1">
      <alignment horizontal="left" vertical="center" wrapText="1"/>
    </xf>
    <xf numFmtId="0" fontId="0" fillId="0" borderId="38" xfId="0" applyFont="1" applyBorder="1" applyNumberFormat="1">
      <alignment horizontal="left" vertical="top"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45" fillId="37" borderId="0" xfId="0" applyFont="1" applyFill="1" applyNumberFormat="1">
      <alignment vertical="top" wrapText="1"/>
    </xf>
    <xf numFmtId="0" fontId="55" fillId="37" borderId="25" xfId="0" applyFont="1" applyFill="1" applyBorder="1" applyNumberFormat="1">
      <alignment horizontal="center" vertical="center" wrapText="1"/>
    </xf>
    <xf numFmtId="14" fontId="23" fillId="43" borderId="25" xfId="0" applyFont="1" applyFill="1" applyBorder="1" applyNumberFormat="1">
      <alignment horizontal="left" vertical="center" wrapText="1"/>
    </xf>
    <xf numFmtId="14" fontId="23" fillId="43" borderId="14" xfId="0" applyFont="1" applyFill="1" applyBorder="1" applyNumberFormat="1">
      <alignment horizontal="center" vertical="center" wrapText="1"/>
    </xf>
    <xf numFmtId="49" fontId="34" fillId="42" borderId="14" xfId="0" applyFont="1" applyFill="1" applyBorder="1" applyNumberFormat="1">
      <alignment horizontal="left" vertical="center" wrapText="1"/>
      <protection locked="0"/>
    </xf>
    <xf numFmtId="49" fontId="36" fillId="40" borderId="17" xfId="0" applyFont="1" applyFill="1" applyBorder="1" applyNumberFormat="1">
      <alignment horizontal="center" vertical="center"/>
    </xf>
    <xf numFmtId="49" fontId="78" fillId="40" borderId="17" xfId="0" applyFont="1" applyFill="1" applyBorder="1" applyNumberFormat="1">
      <alignment horizontal="left" vertical="center" indent="1"/>
    </xf>
    <xf numFmtId="49" fontId="78" fillId="40" borderId="15" xfId="0" applyFont="1" applyFill="1" applyBorder="1" applyNumberFormat="1">
      <alignment horizontal="left" vertical="center" indent="1"/>
    </xf>
    <xf numFmtId="0" fontId="65" fillId="0" borderId="0" xfId="0" applyFont="1" applyNumberFormat="1">
      <alignment vertical="center" wrapText="1"/>
    </xf>
    <xf numFmtId="0" fontId="84" fillId="0" borderId="0" xfId="0" applyFont="1" applyNumberFormat="1">
      <alignment horizontal="center" vertical="center" wrapText="1"/>
    </xf>
    <xf numFmtId="0" fontId="53" fillId="0" borderId="0" xfId="0" applyFont="1" applyNumberFormat="1">
      <alignment vertical="top" wrapText="1"/>
    </xf>
    <xf numFmtId="0" fontId="23" fillId="0" borderId="0" xfId="0" applyFont="1" applyNumberFormat="1">
      <alignment horizontal="right" vertical="top" wrapText="1"/>
    </xf>
    <xf numFmtId="0" fontId="53"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horizontal="left" vertical="center" indent="1"/>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6" xfId="0" applyFont="1" applyBorder="1" applyNumberFormat="1">
      <alignment vertical="top"/>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4" xfId="0" applyFont="1" applyBorder="1" applyNumberFormat="1">
      <alignment horizontal="left" vertical="center" wrapText="1" indent="6"/>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53" fillId="0" borderId="14" xfId="0" applyFont="1" applyBorder="1" applyNumberFormat="1">
      <alignment vertical="top" wrapText="1"/>
    </xf>
    <xf numFmtId="0" fontId="54" fillId="0" borderId="16" xfId="0" applyFont="1" applyBorder="1" applyNumberFormat="1">
      <alignment horizontal="center" vertical="center"/>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indent="1"/>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54" fillId="0" borderId="14" xfId="0" applyFont="1" applyBorder="1" applyNumberFormat="1">
      <alignment horizontal="center" vertical="center" wrapText="1"/>
    </xf>
    <xf numFmtId="0" fontId="54"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54" fillId="0" borderId="16" xfId="0" applyFont="1" applyBorder="1" applyNumberFormat="1">
      <alignment horizontal="center" vertical="center" wrapText="1"/>
    </xf>
    <xf numFmtId="0" fontId="54" fillId="0" borderId="0" xfId="0" applyFont="1" applyNumberFormat="1">
      <alignment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23" fillId="43" borderId="14" xfId="0" applyFont="1" applyFill="1" applyBorder="1" applyNumberFormat="1">
      <alignment horizontal="left" vertical="center" wrapText="1" indent="6"/>
    </xf>
    <xf numFmtId="4" fontId="23" fillId="39" borderId="14" xfId="0" applyFont="1" applyFill="1" applyBorder="1" applyNumberFormat="1">
      <alignment horizontal="right" vertical="center" wrapText="1"/>
      <protection locked="0"/>
    </xf>
    <xf numFmtId="4" fontId="23" fillId="0" borderId="14" xfId="0" applyFont="1" applyBorder="1" applyNumberFormat="1">
      <alignment horizontal="right" vertical="center" wrapText="1"/>
    </xf>
    <xf numFmtId="16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0" fontId="53" fillId="0" borderId="19" xfId="0" applyFont="1" applyBorder="1" applyNumberFormat="1">
      <alignment horizontal="left" vertical="top" wrapText="1"/>
    </xf>
    <xf numFmtId="49" fontId="23" fillId="0" borderId="14" xfId="0" applyFont="1" applyBorder="1" applyNumberFormat="1">
      <alignment horizontal="left" vertical="center" wrapText="1"/>
    </xf>
    <xf numFmtId="4" fontId="55" fillId="0" borderId="14" xfId="0" applyFont="1" applyBorder="1" applyNumberFormat="1">
      <alignment horizontal="center" vertical="center" wrapText="1"/>
    </xf>
    <xf numFmtId="49" fontId="0" fillId="42" borderId="14" xfId="0" applyFont="1" applyFill="1" applyBorder="1" applyNumberFormat="1">
      <alignment horizontal="center" vertical="center" wrapText="1"/>
      <protection locked="0"/>
    </xf>
    <xf numFmtId="0" fontId="53" fillId="0" borderId="38" xfId="0" applyFont="1" applyBorder="1" applyNumberFormat="1">
      <alignment horizontal="left" vertical="top"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6"/>
    </xf>
    <xf numFmtId="49" fontId="23" fillId="40" borderId="15" xfId="0" applyFont="1" applyFill="1" applyBorder="1" applyNumberFormat="1">
      <alignment horizontal="center" vertical="center" wrapText="1"/>
    </xf>
    <xf numFmtId="0" fontId="53" fillId="0" borderId="25" xfId="0" applyFont="1" applyBorder="1" applyNumberFormat="1">
      <alignment horizontal="left" vertical="top" wrapText="1"/>
    </xf>
    <xf numFmtId="49" fontId="48" fillId="40" borderId="17" xfId="0" applyFont="1" applyFill="1" applyBorder="1" applyNumberFormat="1">
      <alignment horizontal="left" vertical="center" indent="5"/>
    </xf>
    <xf numFmtId="49" fontId="0"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49" fontId="47" fillId="0" borderId="0" xfId="0" applyFont="1" applyNumberFormat="1">
      <alignment vertical="top"/>
    </xf>
    <xf numFmtId="49" fontId="48" fillId="40" borderId="17" xfId="0" applyFont="1" applyFill="1" applyBorder="1" applyNumberFormat="1">
      <alignment horizontal="left" vertical="center" indent="4"/>
    </xf>
    <xf numFmtId="0" fontId="55"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49" fontId="23" fillId="0" borderId="0" xfId="0" applyFont="1" applyNumberFormat="1">
      <alignmen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167" fontId="54" fillId="0" borderId="14" xfId="0" applyFont="1" applyBorder="1" applyNumberFormat="1">
      <alignment horizontal="center" vertical="center" wrapText="1"/>
    </xf>
    <xf numFmtId="49" fontId="54" fillId="0" borderId="14" xfId="0" applyFont="1" applyBorder="1" applyNumberFormat="1">
      <alignment horizontal="center"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54" fillId="0" borderId="14" xfId="0" applyFont="1" applyBorder="1" applyNumberFormat="1">
      <alignment vertical="center" wrapText="1"/>
    </xf>
    <xf numFmtId="0" fontId="74" fillId="0" borderId="0" xfId="0" applyFont="1" applyNumberFormat="1">
      <alignment vertical="center" wrapText="1"/>
    </xf>
    <xf numFmtId="0" fontId="54" fillId="0" borderId="0" xfId="0" applyFont="1" applyNumberFormat="1">
      <alignment horizontal="left" vertical="center" wrapText="1"/>
    </xf>
    <xf numFmtId="0" fontId="47"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1" xfId="0" applyFont="1" applyBorder="1" applyNumberFormat="1">
      <alignment horizontal="left" vertical="top" wrapText="1" indent="1"/>
    </xf>
    <xf numFmtId="0" fontId="22" fillId="0" borderId="0" xfId="0" applyFont="1" applyNumberFormat="1">
      <alignment vertical="center" wrapTex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4" fillId="0" borderId="0" xfId="0" applyFont="1" applyNumberFormat="1">
      <alignment vertical="center"/>
    </xf>
    <xf numFmtId="0" fontId="54" fillId="0" borderId="0" xfId="0" applyFont="1" applyNumberFormat="1">
      <alignment horizontal="center" vertical="center"/>
    </xf>
    <xf numFmtId="0" fontId="0" fillId="37" borderId="14" xfId="0" applyFont="1" applyFill="1" applyBorder="1" applyNumberFormat="1">
      <alignment horizontal="right" vertical="center" wrapText="1" indent="1"/>
    </xf>
    <xf numFmtId="0" fontId="0" fillId="0" borderId="17" xfId="0" applyFont="1" applyBorder="1" applyNumberFormat="1">
      <alignment vertical="center"/>
    </xf>
    <xf numFmtId="0" fontId="23" fillId="38" borderId="14" xfId="0" applyFont="1" applyFill="1" applyBorder="1" applyNumberFormat="1">
      <alignment horizontal="left" vertical="center" wrapText="1" indent="1"/>
    </xf>
    <xf numFmtId="0" fontId="23" fillId="0" borderId="0" xfId="0" applyFont="1" applyNumberFormat="1">
      <alignment vertical="center" wrapText="1"/>
    </xf>
    <xf numFmtId="0" fontId="73" fillId="0" borderId="0" xfId="0" applyFont="1" applyNumberFormat="1">
      <alignment vertical="center"/>
    </xf>
    <xf numFmtId="0" fontId="55" fillId="0" borderId="0" xfId="0" applyFont="1" applyNumberFormat="1">
      <alignment vertical="center"/>
    </xf>
    <xf numFmtId="167" fontId="23" fillId="38" borderId="14"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wrapText="1"/>
    </xf>
    <xf numFmtId="0" fontId="23" fillId="37" borderId="29" xfId="0" applyFont="1" applyFill="1" applyBorder="1" applyNumberFormat="1">
      <alignment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19" xfId="0" applyFont="1" applyBorder="1" applyNumberFormat="1">
      <alignmen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0" fontId="23" fillId="0" borderId="38" xfId="0" applyFont="1" applyBorder="1" applyNumberFormat="1">
      <alignment vertical="center" wrapText="1"/>
    </xf>
    <xf numFmtId="0" fontId="23" fillId="0" borderId="19" xfId="0" applyFont="1" applyBorder="1" applyNumberFormat="1">
      <alignment horizontal="center" vertical="center" wrapText="1"/>
    </xf>
    <xf numFmtId="0" fontId="54"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7" xfId="0" applyFont="1" applyBorder="1" applyNumberFormat="1">
      <alignment horizontal="center" vertical="center" wrapText="1"/>
    </xf>
    <xf numFmtId="0" fontId="23" fillId="37" borderId="38" xfId="0" applyFont="1" applyFill="1" applyBorder="1" applyNumberFormat="1">
      <alignment horizontal="center" vertical="center" wrapText="1"/>
    </xf>
    <xf numFmtId="49" fontId="48" fillId="40" borderId="38" xfId="0" applyFont="1" applyFill="1" applyBorder="1" applyNumberFormat="1">
      <alignment horizontal="center" vertical="center" textRotation="90" wrapText="1"/>
    </xf>
    <xf numFmtId="0" fontId="54" fillId="0" borderId="0" xfId="0" applyFont="1" applyNumberFormat="1">
      <alignment vertical="center"/>
    </xf>
    <xf numFmtId="0" fontId="23" fillId="0" borderId="25" xfId="0" applyFont="1" applyBorder="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8" fillId="40" borderId="25" xfId="0" applyFont="1" applyFill="1" applyBorder="1" applyNumberFormat="1">
      <alignment horizontal="center" vertical="center" textRotation="90" wrapText="1"/>
    </xf>
    <xf numFmtId="49" fontId="77" fillId="0" borderId="0" xfId="0" applyFont="1" applyNumberFormat="1">
      <alignment vertical="center" wrapText="1"/>
    </xf>
    <xf numFmtId="0" fontId="111" fillId="37" borderId="0" xfId="0" applyFont="1" applyFill="1" applyNumberFormat="1">
      <alignment vertical="center" wrapText="1"/>
    </xf>
    <xf numFmtId="0" fontId="112" fillId="37" borderId="0" xfId="0" applyFont="1" applyFill="1" applyNumberFormat="1">
      <alignment vertical="center" wrapText="1"/>
    </xf>
    <xf numFmtId="49" fontId="85" fillId="37" borderId="21" xfId="0" applyFont="1" applyFill="1" applyBorder="1" applyNumberFormat="1">
      <alignment horizontal="left" vertical="center" wrapText="1"/>
    </xf>
    <xf numFmtId="49" fontId="85" fillId="37" borderId="21" xfId="0" applyFont="1" applyFill="1" applyBorder="1" applyNumberFormat="1">
      <alignment horizontal="center" vertical="center" wrapText="1"/>
    </xf>
    <xf numFmtId="0" fontId="5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167" fontId="0" fillId="42" borderId="19" xfId="0" applyFont="1" applyFill="1" applyBorder="1" applyNumberFormat="1">
      <alignment horizontal="center" vertical="center" wrapText="1"/>
      <protection locked="0"/>
    </xf>
    <xf numFmtId="4" fontId="23" fillId="0" borderId="19" xfId="0" applyFont="1" applyBorder="1" applyNumberFormat="1">
      <alignment horizontal="right" vertical="center" wrapText="1"/>
    </xf>
    <xf numFmtId="49" fontId="23" fillId="0" borderId="14" xfId="0" applyFont="1" applyBorder="1" applyNumberFormat="1">
      <alignment horizontal="left" vertical="center" wrapText="1"/>
    </xf>
    <xf numFmtId="49" fontId="0" fillId="42" borderId="25" xfId="0" applyFont="1" applyFill="1" applyBorder="1" applyNumberFormat="1">
      <alignment horizontal="center" vertical="center" wrapText="1"/>
      <protection locked="0"/>
    </xf>
    <xf numFmtId="4" fontId="23" fillId="0" borderId="25" xfId="0" applyFont="1" applyBorder="1" applyNumberFormat="1">
      <alignment horizontal="right" vertical="center" wrapText="1"/>
    </xf>
    <xf numFmtId="0" fontId="55" fillId="0" borderId="0" xfId="0" applyFont="1" applyNumberFormat="1">
      <alignment horizontal="left" vertical="center" indent="1"/>
    </xf>
    <xf numFmtId="0" fontId="55" fillId="0" borderId="0" xfId="0" applyFont="1" applyNumberFormat="1">
      <alignment vertical="center" wrapText="1"/>
    </xf>
    <xf numFmtId="0" fontId="55" fillId="0" borderId="0" xfId="0" applyFont="1" applyNumberFormat="1">
      <alignment horizontal="center" vertical="center"/>
    </xf>
    <xf numFmtId="0" fontId="55" fillId="0" borderId="0" xfId="0" applyFont="1" applyNumberFormat="1">
      <alignment vertical="center" wrapText="1"/>
    </xf>
    <xf numFmtId="49" fontId="55" fillId="0" borderId="0" xfId="0" applyFont="1" applyNumberFormat="1">
      <alignment vertical="top"/>
    </xf>
    <xf numFmtId="49" fontId="112"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23" fillId="0" borderId="0" xfId="0" applyFont="1" applyNumberFormat="1">
      <alignment vertical="center" wrapText="1"/>
    </xf>
    <xf numFmtId="0" fontId="47"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0" fontId="23" fillId="0" borderId="14" xfId="0" applyFont="1" applyBorder="1" applyNumberFormat="1">
      <alignment horizontal="center" vertical="center"/>
    </xf>
    <xf numFmtId="0" fontId="23" fillId="0" borderId="0" xfId="0" applyFont="1" applyNumberFormat="1">
      <alignment horizontal="center" vertical="center"/>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0" fontId="23" fillId="37" borderId="14" xfId="0" applyFont="1" applyFill="1" applyBorder="1" applyNumberFormat="1">
      <alignment horizontal="left" vertical="center" wrapText="1" indent="1"/>
    </xf>
    <xf numFmtId="0" fontId="23" fillId="0" borderId="0" xfId="0" applyFont="1" applyNumberFormat="1">
      <alignment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77" fillId="0" borderId="0" xfId="0" applyFont="1" applyNumberFormat="1">
      <alignment horizontal="left" vertical="center" wrapText="1"/>
    </xf>
    <xf numFmtId="0" fontId="77" fillId="0" borderId="0" xfId="0" applyFont="1" applyNumberFormat="1">
      <alignment vertical="center" wrapText="1"/>
    </xf>
    <xf numFmtId="0" fontId="55" fillId="0" borderId="0" xfId="0" applyFont="1" applyNumberFormat="1">
      <alignment vertical="center"/>
    </xf>
    <xf numFmtId="49" fontId="77" fillId="0" borderId="0" xfId="0" applyFont="1" applyNumberFormat="1">
      <alignment horizontal="left" vertical="center"/>
    </xf>
    <xf numFmtId="0" fontId="54"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4"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5" fillId="0" borderId="0" xfId="0" applyFont="1" applyNumberFormat="1">
      <alignment vertical="center" wrapText="1"/>
    </xf>
    <xf numFmtId="0" fontId="23" fillId="0" borderId="19" xfId="0" applyFont="1" applyBorder="1" applyNumberFormat="1">
      <alignment vertical="center" wrapText="1"/>
    </xf>
    <xf numFmtId="0" fontId="0" fillId="0" borderId="14" xfId="0" applyFont="1" applyBorder="1" applyNumberFormat="1">
      <alignment horizontal="center" vertical="center" wrapText="1"/>
    </xf>
    <xf numFmtId="0" fontId="77" fillId="0" borderId="0" xfId="0" applyFont="1" applyNumberFormat="1">
      <alignment vertical="center" wrapText="1"/>
    </xf>
    <xf numFmtId="0" fontId="85" fillId="37" borderId="21" xfId="0" applyFont="1" applyFill="1" applyBorder="1" applyNumberFormat="1">
      <alignment horizontal="center" vertical="center" wrapText="1"/>
    </xf>
    <xf numFmtId="0" fontId="77" fillId="0" borderId="0" xfId="0" applyFont="1" applyNumberFormat="1">
      <alignment horizontal="left" vertical="center" indent="1"/>
    </xf>
    <xf numFmtId="0" fontId="55" fillId="0" borderId="0" xfId="0" applyFont="1" applyNumberFormat="1">
      <alignment vertical="center" wrapText="1"/>
    </xf>
    <xf numFmtId="0" fontId="77"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4" fontId="23" fillId="0" borderId="14" xfId="0" applyFont="1" applyBorder="1" applyNumberFormat="1">
      <alignment horizontal="right" vertical="center" wrapText="1"/>
    </xf>
    <xf numFmtId="0" fontId="0" fillId="37" borderId="21" xfId="0" applyFont="1" applyFill="1" applyBorder="1" applyNumberFormat="1">
      <alignment horizontal="center" vertical="center" wrapText="1"/>
    </xf>
    <xf numFmtId="0" fontId="55"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55" fillId="0" borderId="14" xfId="0" applyFont="1" applyBorder="1" applyNumberFormat="1">
      <alignment vertical="center" wrapText="1"/>
    </xf>
    <xf numFmtId="0" fontId="23" fillId="0" borderId="0" xfId="0" applyFont="1" applyNumberFormat="1">
      <alignment vertical="center"/>
    </xf>
    <xf numFmtId="0" fontId="55" fillId="0" borderId="25" xfId="0" applyFont="1" applyBorder="1" applyNumberFormat="1">
      <alignment horizontal="center" vertical="center" wrapText="1"/>
    </xf>
    <xf numFmtId="0" fontId="23" fillId="0" borderId="32" xfId="0" applyFont="1" applyBorder="1" applyNumberFormat="1">
      <alignment horizontal="center" vertical="center" wrapText="1"/>
    </xf>
    <xf numFmtId="0" fontId="55"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0" xfId="0" applyFont="1" applyFill="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9" fontId="55" fillId="0" borderId="0" xfId="0" applyFont="1" applyNumberFormat="1">
      <alignment vertical="center" wrapText="1"/>
    </xf>
    <xf numFmtId="0" fontId="0" fillId="0" borderId="0" xfId="0" applyFont="1" applyNumberFormat="1">
      <alignment horizontal="left" vertical="top" wrapText="1"/>
    </xf>
    <xf numFmtId="0" fontId="54" fillId="0" borderId="0" xfId="0" applyFont="1" applyNumberFormat="1">
      <alignment vertical="top" wrapText="1"/>
    </xf>
    <xf numFmtId="0" fontId="23" fillId="0" borderId="21" xfId="0" applyFont="1" applyBorder="1" applyNumberFormat="1">
      <alignment horizontal="left" vertical="center" wrapText="1" indent="1"/>
    </xf>
    <xf numFmtId="0" fontId="23" fillId="0" borderId="0" xfId="0" applyFont="1" applyNumberFormat="1">
      <alignment horizontal="left" vertical="center" wrapText="1"/>
    </xf>
    <xf numFmtId="0" fontId="23" fillId="43" borderId="22" xfId="0" applyFont="1" applyFill="1" applyBorder="1" applyNumberFormat="1">
      <alignment horizontal="left" vertical="center" wrapText="1"/>
    </xf>
    <xf numFmtId="0" fontId="23" fillId="0" borderId="0" xfId="0" applyFont="1" applyNumberFormat="1">
      <alignment horizontal="center" vertical="center" wrapText="1"/>
    </xf>
    <xf numFmtId="164" fontId="23" fillId="39" borderId="16" xfId="0" applyFont="1" applyFill="1" applyBorder="1" applyNumberFormat="1">
      <alignment horizontal="right" vertical="center" wrapText="1"/>
      <protection locked="0"/>
    </xf>
    <xf numFmtId="4" fontId="23" fillId="39" borderId="15" xfId="0" applyFont="1" applyFill="1" applyBorder="1" applyNumberFormat="1">
      <alignment horizontal="right" vertical="center" wrapText="1"/>
      <protection locked="0"/>
    </xf>
    <xf numFmtId="0" fontId="53" fillId="0" borderId="19" xfId="0" applyFont="1" applyBorder="1" applyNumberFormat="1">
      <alignment vertical="top" wrapText="1"/>
    </xf>
    <xf numFmtId="0" fontId="23" fillId="39" borderId="14" xfId="0" applyFont="1" applyFill="1" applyBorder="1" applyNumberFormat="1">
      <alignment horizontal="left" vertical="center" wrapText="1" indent="7"/>
      <protection locked="0"/>
    </xf>
    <xf numFmtId="49" fontId="0" fillId="42" borderId="14" xfId="0" applyFont="1" applyFill="1" applyBorder="1" applyNumberFormat="1">
      <alignment horizontal="center" vertical="center" wrapText="1"/>
      <protection locked="0"/>
    </xf>
    <xf numFmtId="4" fontId="55" fillId="0" borderId="16" xfId="0" applyFont="1" applyBorder="1" applyNumberFormat="1">
      <alignment horizontal="center" vertical="center" wrapText="1"/>
    </xf>
    <xf numFmtId="4" fontId="23" fillId="0" borderId="15" xfId="0" applyFont="1" applyBorder="1" applyNumberFormat="1">
      <alignment horizontal="right" vertical="center" wrapText="1"/>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14" xfId="0" applyFont="1" applyBorder="1" applyNumberFormat="1">
      <alignment horizontal="left" vertical="center" wrapText="1" indent="5"/>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45"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23" fillId="0" borderId="14" xfId="0" applyFont="1" applyBorder="1" applyNumberFormat="1">
      <alignment horizontal="left" vertical="center" wrapText="1" indent="4"/>
    </xf>
    <xf numFmtId="49" fontId="23" fillId="37" borderId="14" xfId="0" applyFont="1" applyFill="1" applyBorder="1" applyNumberFormat="1">
      <alignment horizontal="center" vertical="center" wrapText="1"/>
    </xf>
    <xf numFmtId="0" fontId="23" fillId="43" borderId="14" xfId="0" applyFont="1" applyFill="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0" fontId="23" fillId="37" borderId="38" xfId="0" applyFont="1" applyFill="1" applyBorder="1" applyNumberFormat="1">
      <alignment horizontal="left" vertical="center" wrapText="1"/>
    </xf>
    <xf numFmtId="49" fontId="23" fillId="42" borderId="38" xfId="0" applyFont="1" applyFill="1" applyBorder="1" applyNumberFormat="1">
      <alignment horizontal="left" vertical="center" wrapText="1" indent="6"/>
      <protection locked="0"/>
    </xf>
    <xf numFmtId="164" fontId="23" fillId="40" borderId="15" xfId="0" applyFont="1" applyFill="1" applyBorder="1" applyNumberFormat="1">
      <alignment horizontal="right" vertical="center" wrapText="1"/>
    </xf>
    <xf numFmtId="49" fontId="48" fillId="40" borderId="16" xfId="0" applyFont="1" applyFill="1" applyBorder="1" applyNumberFormat="1">
      <alignment horizontal="left" vertical="center"/>
    </xf>
    <xf numFmtId="164" fontId="23" fillId="40" borderId="17" xfId="0" applyFont="1" applyFill="1" applyBorder="1" applyNumberFormat="1">
      <alignment horizontal="right" vertical="center" wrapText="1"/>
    </xf>
    <xf numFmtId="4" fontId="23" fillId="0" borderId="38" xfId="0" applyFont="1" applyBorder="1" applyNumberFormat="1">
      <alignment horizontal="right" vertical="center" wrapText="1"/>
    </xf>
    <xf numFmtId="49" fontId="48" fillId="40" borderId="16" xfId="0" applyFont="1" applyFill="1" applyBorder="1" applyNumberFormat="1">
      <alignment horizontal="left" vertical="center" indent="1"/>
    </xf>
    <xf numFmtId="0" fontId="23" fillId="37" borderId="25" xfId="0" applyFont="1" applyFill="1" applyBorder="1" applyNumberFormat="1">
      <alignment horizontal="left" vertical="center" wrapText="1"/>
    </xf>
    <xf numFmtId="49" fontId="23" fillId="42" borderId="25" xfId="0" applyFont="1" applyFill="1" applyBorder="1" applyNumberFormat="1">
      <alignment horizontal="left" vertical="center" wrapText="1" indent="6"/>
      <protection locked="0"/>
    </xf>
    <xf numFmtId="4" fontId="55" fillId="40" borderId="15" xfId="0" applyFont="1" applyFill="1" applyBorder="1" applyNumberFormat="1">
      <alignment horizontal="center"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55" fillId="0" borderId="26" xfId="0" applyFont="1" applyBorder="1" applyNumberFormat="1">
      <alignment vertical="top"/>
    </xf>
    <xf numFmtId="0" fontId="116" fillId="0" borderId="0" xfId="0" applyFont="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26"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7"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4" fillId="0" borderId="0" xfId="0" applyFont="1" applyNumberFormat="1">
      <alignment horizontal="left" vertical="center"/>
    </xf>
    <xf numFmtId="0" fontId="55" fillId="0" borderId="0" xfId="0" applyFont="1" applyNumberFormat="1">
      <alignment horizontal="left" vertical="center"/>
    </xf>
    <xf numFmtId="0" fontId="74" fillId="37" borderId="0" xfId="0" applyFont="1" applyFill="1" applyNumberFormat="1">
      <alignment vertical="center" wrapText="1"/>
    </xf>
    <xf numFmtId="0" fontId="23" fillId="37" borderId="3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6"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14" xfId="0" applyFont="1" applyBorder="1" applyNumberFormat="1">
      <alignment horizontal="left" vertical="center" wrapText="1" indent="1"/>
    </xf>
    <xf numFmtId="0" fontId="23" fillId="0" borderId="14" xfId="0" applyFont="1" applyBorder="1" applyNumberFormat="1">
      <alignment horizontal="left" vertical="center" wrapText="1" indent="1"/>
    </xf>
    <xf numFmtId="49" fontId="23" fillId="40" borderId="16" xfId="0" applyFont="1" applyFill="1" applyBorder="1" applyNumberFormat="1">
      <alignment horizontal="center" vertical="center" wrapText="1"/>
    </xf>
    <xf numFmtId="49" fontId="77" fillId="0" borderId="26" xfId="0" applyFont="1" applyBorder="1" applyNumberFormat="1">
      <alignment vertical="top"/>
    </xf>
    <xf numFmtId="0" fontId="23" fillId="0" borderId="0" xfId="0" applyFont="1" applyNumberFormat="1">
      <alignment horizontal="left" vertical="top" wrapText="1"/>
    </xf>
    <xf numFmtId="0" fontId="74"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49" fontId="48" fillId="40" borderId="17" xfId="0" applyFont="1" applyFill="1" applyBorder="1" applyNumberFormat="1">
      <alignment horizontal="left" vertical="center" indent="3"/>
    </xf>
    <xf numFmtId="0" fontId="55" fillId="0" borderId="0" xfId="0" applyFont="1" applyNumberFormat="1">
      <alignment horizontal="center" vertical="center"/>
    </xf>
    <xf numFmtId="0" fontId="54" fillId="0" borderId="0" xfId="0" applyFont="1" applyNumberFormat="1">
      <alignment horizontal="center" vertical="center" wrapText="1"/>
    </xf>
    <xf numFmtId="0" fontId="115" fillId="0" borderId="0" xfId="0" applyFont="1" applyNumberFormat="1">
      <alignment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8" borderId="17" xfId="0" applyFont="1" applyFill="1" applyBorder="1" applyNumberFormat="1">
      <alignment horizontal="left" vertical="center" wrapText="1"/>
    </xf>
    <xf numFmtId="0" fontId="54" fillId="0" borderId="0" xfId="0" applyFont="1" applyNumberFormat="1">
      <alignment horizontal="center" vertical="center" wrapText="1"/>
    </xf>
    <xf numFmtId="0" fontId="55" fillId="0" borderId="17" xfId="0" applyFont="1" applyBorder="1" applyNumberFormat="1">
      <alignment horizontal="left" vertical="center" wrapText="1"/>
    </xf>
    <xf numFmtId="49" fontId="23" fillId="43" borderId="14" xfId="0" applyFont="1" applyFill="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23" fillId="43" borderId="17"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77"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5" fillId="0" borderId="29" xfId="0" applyFont="1" applyBorder="1" applyNumberFormat="1">
      <alignment horizontal="center" vertical="center" wrapText="1"/>
    </xf>
    <xf numFmtId="0" fontId="23" fillId="42" borderId="15"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0" fontId="55" fillId="0" borderId="0" xfId="0" applyFont="1" applyNumberFormat="1">
      <alignment horizontal="center" vertical="center" wrapText="1"/>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23" fillId="39" borderId="38" xfId="0" applyFont="1" applyFill="1" applyBorder="1" applyNumberFormat="1">
      <alignment horizontal="left" vertical="center" wrapText="1" indent="6"/>
      <protection locked="0"/>
    </xf>
    <xf numFmtId="49" fontId="23" fillId="43" borderId="31" xfId="0" applyFont="1" applyFill="1" applyBorder="1" applyNumberFormat="1">
      <alignment horizontal="center" vertical="center" wrapText="1"/>
    </xf>
    <xf numFmtId="49" fontId="48" fillId="40" borderId="29" xfId="0" applyFont="1" applyFill="1" applyBorder="1" applyNumberFormat="1">
      <alignment horizontal="left" vertical="center"/>
    </xf>
    <xf numFmtId="49" fontId="23" fillId="39" borderId="25" xfId="0" applyFont="1" applyFill="1" applyBorder="1" applyNumberFormat="1">
      <alignment horizontal="left" vertical="center" wrapText="1" indent="6"/>
      <protection locked="0"/>
    </xf>
    <xf numFmtId="0" fontId="55" fillId="0" borderId="0" xfId="0" applyFont="1" applyNumberFormat="1">
      <alignment horizontal="center" vertical="center"/>
    </xf>
    <xf numFmtId="0" fontId="55" fillId="0" borderId="0" xfId="0" applyFont="1" applyNumberFormat="1">
      <alignment horizontal="left" vertical="center" wrapText="1" indent="1"/>
    </xf>
    <xf numFmtId="0" fontId="23" fillId="37" borderId="14" xfId="0" applyFont="1" applyFill="1" applyBorder="1" applyNumberFormat="1">
      <alignment horizontal="center" vertical="center" wrapText="1"/>
    </xf>
    <xf numFmtId="0" fontId="55" fillId="0" borderId="21" xfId="0" applyFont="1" applyBorder="1" applyNumberFormat="1">
      <alignment horizontal="lef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49" fontId="23" fillId="43"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55" fillId="0" borderId="14" xfId="0" applyFont="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center" wrapText="1"/>
    </xf>
    <xf numFmtId="0" fontId="23" fillId="0" borderId="0" xfId="0" applyFont="1" applyNumberFormat="1">
      <alignment vertical="center" wrapText="1"/>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4" fontId="23" fillId="0" borderId="14" xfId="0" applyFont="1" applyBorder="1" applyNumberFormat="1">
      <alignment horizontal="right" vertical="center" wrapText="1"/>
    </xf>
    <xf numFmtId="49" fontId="0" fillId="42" borderId="14" xfId="0" applyFont="1" applyFill="1" applyBorder="1" applyNumberFormat="1">
      <alignment horizontal="center" vertical="center" wrapText="1"/>
      <protection locked="0"/>
    </xf>
    <xf numFmtId="4" fontId="23" fillId="0" borderId="14" xfId="0" applyFont="1" applyBorder="1" applyNumberFormat="1">
      <alignment horizontal="right" vertical="center" wrapText="1"/>
    </xf>
    <xf numFmtId="49" fontId="0" fillId="42" borderId="14"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center" vertical="center" wrapText="1"/>
    </xf>
    <xf numFmtId="0" fontId="54" fillId="0" borderId="0" xfId="0" applyFont="1" applyNumberFormat="1">
      <alignment vertical="center" wrapText="1"/>
    </xf>
    <xf numFmtId="49" fontId="54" fillId="0" borderId="14" xfId="0" applyFont="1" applyBorder="1" applyNumberFormat="1">
      <alignment vertical="center" wrapText="1"/>
    </xf>
    <xf numFmtId="0" fontId="54" fillId="0" borderId="0" xfId="0" applyFont="1" applyNumberFormat="1">
      <alignment vertical="center" wrapText="1"/>
    </xf>
    <xf numFmtId="49" fontId="54" fillId="0" borderId="14" xfId="0" applyFont="1" applyBorder="1" applyNumberFormat="1">
      <alignment vertical="center" wrapText="1"/>
    </xf>
    <xf numFmtId="0" fontId="54" fillId="0" borderId="0" xfId="0" applyFont="1" applyNumberFormat="1">
      <alignment vertical="center"/>
    </xf>
    <xf numFmtId="0" fontId="54" fillId="0" borderId="0" xfId="0" applyFont="1" applyNumberFormat="1">
      <alignment vertical="center"/>
    </xf>
    <xf numFmtId="0" fontId="23" fillId="0" borderId="21" xfId="0" applyFont="1" applyBorder="1" applyNumberFormat="1">
      <alignment horizontal="left" vertical="top" wrapText="1" indent="1"/>
    </xf>
    <xf numFmtId="0" fontId="23" fillId="0" borderId="21" xfId="0" applyFont="1" applyBorder="1" applyNumberFormat="1">
      <alignment horizontal="left" vertical="top" wrapText="1" indent="1"/>
    </xf>
    <xf numFmtId="0" fontId="23" fillId="0" borderId="29" xfId="0" applyFont="1" applyBorder="1" applyNumberFormat="1">
      <alignment horizontal="left" vertical="center" wrapText="1" inden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36" fillId="37" borderId="0" xfId="0" applyFont="1" applyFill="1" applyNumberFormat="1">
      <alignment horizontal="center" vertical="center" wrapText="1"/>
    </xf>
    <xf numFmtId="0" fontId="23" fillId="38" borderId="14" xfId="0" applyFont="1" applyFill="1" applyBorder="1" applyNumberFormat="1">
      <alignment horizontal="left" vertical="center" wrapText="1" indent="1"/>
    </xf>
    <xf numFmtId="0" fontId="23" fillId="38" borderId="14" xfId="0" applyFont="1" applyFill="1" applyBorder="1" applyNumberFormat="1">
      <alignment horizontal="left" vertical="center" wrapText="1" indent="1"/>
    </xf>
    <xf numFmtId="167" fontId="23" fillId="38" borderId="14" xfId="0" applyFont="1" applyFill="1" applyBorder="1" applyNumberFormat="1">
      <alignment horizontal="left" vertical="center" wrapText="1" indent="1"/>
    </xf>
    <xf numFmtId="167" fontId="23" fillId="38" borderId="14" xfId="0" applyFont="1" applyFill="1" applyBorder="1" applyNumberFormat="1">
      <alignment horizontal="left" vertical="center" wrapText="1" indent="1"/>
    </xf>
    <xf numFmtId="0" fontId="55" fillId="0" borderId="0" xfId="0" applyFont="1" applyNumberFormat="1">
      <alignment vertical="center" wrapText="1"/>
    </xf>
    <xf numFmtId="0" fontId="55" fillId="0" borderId="0" xfId="0" applyFont="1" applyNumberFormat="1">
      <alignment vertical="center" wrapText="1"/>
    </xf>
    <xf numFmtId="0" fontId="45" fillId="0" borderId="29" xfId="0" applyFont="1" applyBorder="1" applyNumberFormat="1">
      <alignment horizontal="center" vertical="center" wrapText="1"/>
    </xf>
    <xf numFmtId="0" fontId="45" fillId="0" borderId="29"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23"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23" fillId="0" borderId="39"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37" borderId="38"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23" fillId="0" borderId="39"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37" borderId="38" xfId="0" applyFont="1" applyFill="1" applyBorder="1" applyNumberFormat="1">
      <alignment horizontal="center" vertical="center" wrapText="1"/>
    </xf>
    <xf numFmtId="0" fontId="54" fillId="0" borderId="0" xfId="0" applyFont="1" applyNumberFormat="1">
      <alignment horizontal="center" vertical="center" wrapText="1"/>
    </xf>
    <xf numFmtId="0" fontId="23" fillId="0" borderId="32"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0" xfId="0" applyFont="1" applyFill="1" applyNumberFormat="1">
      <alignment horizontal="center" vertical="center" wrapText="1"/>
    </xf>
    <xf numFmtId="0" fontId="85" fillId="37" borderId="21" xfId="0" applyFont="1" applyFill="1" applyBorder="1" applyNumberFormat="1">
      <alignment horizontal="center" vertical="center" wrapText="1"/>
    </xf>
    <xf numFmtId="0" fontId="85" fillId="37" borderId="0" xfId="0" applyFont="1" applyFill="1" applyNumberFormat="1">
      <alignment horizontal="center" vertical="center" wrapText="1"/>
    </xf>
    <xf numFmtId="167" fontId="0" fillId="42" borderId="19" xfId="0" applyFont="1" applyFill="1" applyBorder="1" applyNumberFormat="1">
      <alignment horizontal="center" vertical="center" wrapText="1"/>
      <protection locked="0"/>
    </xf>
    <xf numFmtId="167" fontId="0" fillId="42" borderId="19" xfId="0" applyFont="1" applyFill="1" applyBorder="1" applyNumberFormat="1">
      <alignment horizontal="center" vertical="center" wrapText="1"/>
      <protection locked="0"/>
    </xf>
    <xf numFmtId="49" fontId="0" fillId="42" borderId="25" xfId="0" applyFont="1" applyFill="1" applyBorder="1" applyNumberFormat="1">
      <alignment horizontal="center" vertical="center" wrapText="1"/>
      <protection locked="0"/>
    </xf>
    <xf numFmtId="49" fontId="0" fillId="42" borderId="25"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0" fillId="0" borderId="0" xfId="0" applyFont="1" applyNumberFormat="1">
      <alignment vertical="top"/>
    </xf>
    <xf numFmtId="0" fontId="54" fillId="0" borderId="0" xfId="0" applyFont="1" applyNumberFormat="1">
      <alignment horizontal="left" vertical="center" indent="1"/>
    </xf>
    <xf numFmtId="0" fontId="54" fillId="0" borderId="16" xfId="0" applyFont="1" applyBorder="1" applyNumberFormat="1">
      <alignment horizontal="center" vertical="center"/>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xf>
    <xf numFmtId="0" fontId="23" fillId="37" borderId="14" xfId="0" applyFont="1" applyFill="1" applyBorder="1" applyNumberFormat="1">
      <alignment horizontal="left" vertical="center" wrapText="1" indent="1"/>
    </xf>
    <xf numFmtId="0" fontId="23" fillId="0" borderId="14" xfId="0" applyFont="1" applyBorder="1" applyNumberFormat="1">
      <alignment horizontal="left" vertical="center" wrapText="1" indent="6"/>
    </xf>
    <xf numFmtId="0" fontId="53" fillId="0" borderId="14" xfId="0" applyFont="1" applyBorder="1" applyNumberFormat="1">
      <alignment vertical="top" wrapText="1"/>
    </xf>
    <xf numFmtId="0" fontId="55" fillId="0" borderId="0" xfId="0" applyFont="1" applyNumberFormat="1">
      <alignment vertical="center"/>
    </xf>
    <xf numFmtId="49" fontId="0" fillId="0" borderId="0" xfId="0" applyFont="1" applyNumberFormat="1">
      <alignment vertical="top"/>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49" fontId="0" fillId="0" borderId="0" xfId="0" applyFont="1" applyNumberFormat="1">
      <alignment vertical="top"/>
    </xf>
    <xf numFmtId="0" fontId="54" fillId="0" borderId="14" xfId="0" applyFont="1" applyBorder="1" applyNumberFormat="1">
      <alignment horizontal="center" vertical="center" wrapText="1"/>
    </xf>
    <xf numFmtId="49" fontId="54" fillId="0" borderId="0" xfId="0" applyFont="1" applyNumberFormat="1">
      <alignment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0" fillId="0" borderId="0" xfId="0" applyFont="1" applyNumberFormat="1">
      <alignment vertical="top"/>
    </xf>
    <xf numFmtId="0" fontId="54" fillId="0" borderId="16" xfId="0" applyFont="1" applyBorder="1" applyNumberFormat="1">
      <alignment horizontal="center"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53" fillId="0" borderId="19" xfId="0" applyFont="1" applyBorder="1" applyNumberFormat="1">
      <alignment vertical="top" wrapText="1"/>
    </xf>
    <xf numFmtId="49" fontId="0" fillId="0" borderId="0" xfId="0" applyFont="1" applyNumberFormat="1">
      <alignment vertical="top"/>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0" fillId="0" borderId="0" xfId="0" applyFont="1" applyNumberFormat="1">
      <alignment vertical="top"/>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23" fillId="0" borderId="0" xfId="0" applyFont="1" applyNumberFormat="1">
      <alignment vertical="top"/>
    </xf>
    <xf numFmtId="49" fontId="47" fillId="0" borderId="0" xfId="0" applyFont="1" applyNumberFormat="1">
      <alignment vertical="top"/>
    </xf>
    <xf numFmtId="49" fontId="23" fillId="0" borderId="26" xfId="0" applyFont="1" applyBorder="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49" fontId="55" fillId="0" borderId="0" xfId="0" applyFont="1" applyNumberFormat="1">
      <alignment horizontal="left" vertical="center"/>
    </xf>
    <xf numFmtId="49" fontId="55" fillId="0" borderId="0" xfId="0" applyFont="1" applyNumberFormat="1">
      <alignment vertical="top"/>
    </xf>
    <xf numFmtId="49" fontId="112" fillId="0" borderId="0" xfId="0" applyFont="1" applyNumberFormat="1">
      <alignment vertical="top"/>
    </xf>
    <xf numFmtId="49" fontId="102" fillId="0" borderId="0" xfId="0" applyFont="1" applyNumberFormat="1">
      <alignment horizontal="left" vertical="center"/>
    </xf>
    <xf numFmtId="49" fontId="55" fillId="0" borderId="0" xfId="0" applyFont="1" applyNumberFormat="1">
      <alignment horizontal="left" vertical="center" inden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49" fontId="0" fillId="0" borderId="0" xfId="0" applyFont="1" applyNumberFormat="1">
      <alignment vertical="top"/>
    </xf>
    <xf numFmtId="49" fontId="23" fillId="0" borderId="0" xfId="0" applyFont="1" applyNumberFormat="1">
      <alignment vertical="center" wrapText="1"/>
    </xf>
    <xf numFmtId="0" fontId="23" fillId="0" borderId="14" xfId="0" applyFont="1" applyBorder="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0" fontId="6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0" fontId="68" fillId="0" borderId="0" xfId="0" applyFont="1" applyNumberFormat="1">
      <alignment vertical="center" wrapText="1"/>
    </xf>
    <xf numFmtId="0" fontId="23" fillId="0" borderId="0" xfId="0" applyFont="1" applyNumberFormat="1">
      <alignment horizontal="left" vertical="top" wrapText="1"/>
    </xf>
    <xf numFmtId="0" fontId="23" fillId="0" borderId="0" xfId="0" applyFont="1" applyNumberFormat="1">
      <alignment horizontal="left" vertical="top" wrapText="1"/>
    </xf>
    <xf numFmtId="49" fontId="0" fillId="0" borderId="0" xfId="0" applyFont="1" applyNumberFormat="1">
      <alignment vertical="top"/>
    </xf>
    <xf numFmtId="0" fontId="54" fillId="0" borderId="0" xfId="0" applyFont="1" applyNumberFormat="1">
      <alignment horizontal="center" vertical="center" wrapText="1"/>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49"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0" fontId="23" fillId="0" borderId="14" xfId="0" applyFont="1" applyBorder="1" applyNumberFormat="1">
      <alignment horizontal="center" vertical="center" wrapText="1"/>
    </xf>
    <xf numFmtId="0" fontId="23" fillId="0" borderId="14" xfId="0" applyFont="1" applyBorder="1" applyNumberFormat="1">
      <alignment vertical="center" wrapText="1"/>
    </xf>
    <xf numFmtId="0" fontId="89" fillId="0" borderId="0" xfId="0" applyFont="1" applyNumberFormat="1">
      <alignment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4" fontId="23" fillId="39" borderId="14" xfId="0" applyFont="1" applyFill="1" applyBorder="1" applyNumberFormat="1">
      <alignment horizontal="right" vertical="center" wrapText="1"/>
      <protection locked="0"/>
    </xf>
    <xf numFmtId="0" fontId="23" fillId="39" borderId="14" xfId="0" applyFont="1" applyFill="1" applyBorder="1" applyNumberFormat="1">
      <alignment horizontal="left" vertical="center" wrapText="1"/>
      <protection locked="0"/>
    </xf>
    <xf numFmtId="49" fontId="96" fillId="0" borderId="0" xfId="0" applyFont="1" applyNumberFormat="1">
      <alignment horizontal="center" vertical="center" wrapText="1"/>
    </xf>
    <xf numFmtId="49" fontId="23" fillId="0" borderId="0" xfId="0" applyFont="1" applyNumberFormat="1">
      <alignment horizontal="center" vertical="top" wrapText="1"/>
    </xf>
    <xf numFmtId="0" fontId="23" fillId="0" borderId="14" xfId="0" applyFont="1" applyBorder="1" applyNumberFormat="1">
      <alignment horizontal="center" vertical="center" wrapText="1"/>
    </xf>
    <xf numFmtId="0" fontId="23" fillId="0" borderId="15" xfId="0" applyFont="1" applyBorder="1" applyNumberFormat="1">
      <alignment vertical="top" wrapText="1"/>
    </xf>
    <xf numFmtId="0" fontId="59" fillId="0" borderId="0" xfId="0" applyFont="1" applyNumberFormat="1">
      <alignment vertical="center" wrapText="1"/>
    </xf>
    <xf numFmtId="0" fontId="23" fillId="0" borderId="15" xfId="0" applyFont="1" applyBorder="1" applyNumberFormat="1">
      <alignment horizontal="center" vertical="center" wrapText="1"/>
    </xf>
    <xf numFmtId="166" fontId="23" fillId="39" borderId="14" xfId="0" applyFont="1" applyFill="1" applyBorder="1" applyNumberFormat="1">
      <alignment horizontal="right" vertical="center" wrapText="1"/>
      <protection locked="0"/>
    </xf>
    <xf numFmtId="0" fontId="23" fillId="0" borderId="22" xfId="0" applyFont="1" applyBorder="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2" fillId="37" borderId="0" xfId="0" applyFont="1" applyFill="1" applyNumberFormat="1">
      <alignment horizontal="right" vertical="center"/>
    </xf>
    <xf numFmtId="0" fontId="23" fillId="0" borderId="16" xfId="0" applyFont="1" applyBorder="1" applyNumberFormat="1">
      <alignment vertical="center"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0" fontId="45" fillId="0" borderId="0" xfId="0" applyFont="1" applyNumberFormat="1">
      <alignment horizontal="center" vertical="center" wrapText="1"/>
    </xf>
    <xf numFmtId="49" fontId="23" fillId="40" borderId="16" xfId="0" applyFont="1" applyFill="1" applyBorder="1" applyNumberFormat="1">
      <alignment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14" xfId="0" applyFont="1" applyBorder="1" applyNumberFormat="1">
      <alignment horizontal="left" vertical="center" wrapText="1" indent="2"/>
    </xf>
    <xf numFmtId="14" fontId="23" fillId="0" borderId="0" xfId="0" applyFont="1" applyNumberFormat="1">
      <alignment horizontal="center" vertical="center" wrapText="1"/>
    </xf>
    <xf numFmtId="49" fontId="96" fillId="48" borderId="0" xfId="0" applyFont="1" applyFill="1" applyNumberFormat="1">
      <alignment horizontal="center" vertical="center" wrapText="1"/>
    </xf>
    <xf numFmtId="49" fontId="36" fillId="0" borderId="0" xfId="0" applyFont="1" applyNumberFormat="1">
      <alignment horizontal="center" vertical="center"/>
    </xf>
    <xf numFmtId="166" fontId="23" fillId="42" borderId="14" xfId="0" applyFont="1" applyFill="1" applyBorder="1" applyNumberFormat="1">
      <alignment horizontal="right" vertical="center" wrapText="1"/>
      <protection locked="0"/>
    </xf>
    <xf numFmtId="0" fontId="54" fillId="0" borderId="0" xfId="0" applyFont="1" applyNumberFormat="1">
      <alignment horizontal="left" vertical="center" wrapText="1"/>
    </xf>
    <xf numFmtId="49" fontId="96" fillId="0" borderId="0" xfId="0" applyFont="1" applyNumberFormat="1">
      <alignment horizontal="left" vertical="center" wrapText="1"/>
    </xf>
    <xf numFmtId="0" fontId="55" fillId="0" borderId="0" xfId="0" applyFont="1" applyNumberFormat="1">
      <alignment horizontal="left" vertical="center" wrapText="1"/>
    </xf>
    <xf numFmtId="49" fontId="23"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43" borderId="14" xfId="0" applyFont="1" applyFill="1" applyBorder="1" applyNumberFormat="1">
      <alignment horizontal="left" vertical="center" wrapText="1"/>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4" fontId="23" fillId="42" borderId="15" xfId="0" applyFont="1" applyFill="1" applyBorder="1" applyNumberFormat="1">
      <alignment horizontal="right" vertical="center" wrapText="1"/>
      <protection locked="0"/>
    </xf>
    <xf numFmtId="49" fontId="34" fillId="39" borderId="15" xfId="0" applyFont="1" applyFill="1" applyBorder="1" applyNumberFormat="1">
      <alignment horizontal="left" vertical="center" wrapText="1"/>
      <protection locked="0"/>
    </xf>
    <xf numFmtId="49" fontId="34" fillId="39" borderId="14" xfId="0" applyFont="1" applyFill="1" applyBorder="1" applyNumberFormat="1">
      <alignment horizontal="left" vertical="center" wrapText="1"/>
      <protection locked="0"/>
    </xf>
    <xf numFmtId="0" fontId="54" fillId="0" borderId="0" xfId="0" applyFont="1" applyNumberFormat="1">
      <alignment vertical="center" wrapText="1"/>
    </xf>
    <xf numFmtId="0" fontId="55" fillId="0" borderId="0" xfId="0" applyFont="1" applyNumberFormat="1">
      <alignment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166" fontId="23" fillId="42" borderId="15" xfId="0" applyFont="1" applyFill="1" applyBorder="1" applyNumberFormat="1">
      <alignment horizontal="right" vertical="center" wrapText="1"/>
      <protection locked="0"/>
    </xf>
    <xf numFmtId="0" fontId="89"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4" fillId="0" borderId="0" xfId="0" applyFont="1" applyNumberFormat="1">
      <alignment vertical="center" wrapText="1"/>
    </xf>
    <xf numFmtId="166" fontId="23" fillId="38" borderId="15" xfId="0" applyFont="1" applyFill="1" applyBorder="1" applyNumberFormat="1">
      <alignment horizontal="right" vertical="center" wrapText="1"/>
    </xf>
    <xf numFmtId="166" fontId="23" fillId="38" borderId="14" xfId="0" applyFont="1" applyFill="1" applyBorder="1" applyNumberFormat="1">
      <alignment horizontal="right" vertical="center" wrapText="1"/>
    </xf>
    <xf numFmtId="49" fontId="96" fillId="48" borderId="0" xfId="0" applyFont="1" applyFill="1" applyNumberFormat="1">
      <alignment horizontal="center" vertical="center" textRotation="90" wrapText="1"/>
    </xf>
    <xf numFmtId="0" fontId="23" fillId="42" borderId="14" xfId="0" applyFont="1" applyFill="1" applyBorder="1" applyNumberFormat="1">
      <alignment horizontal="center" vertical="center" wrapText="1"/>
      <protection locked="0"/>
    </xf>
    <xf numFmtId="4" fontId="23" fillId="42" borderId="31"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166" fontId="23" fillId="42" borderId="19" xfId="0" applyFont="1" applyFill="1" applyBorder="1" applyNumberFormat="1">
      <alignment horizontal="right" vertical="center" wrapText="1"/>
      <protection locked="0"/>
    </xf>
    <xf numFmtId="0" fontId="55" fillId="0" borderId="25" xfId="0" applyFont="1" applyBorder="1" applyNumberFormat="1">
      <alignment horizontal="left" vertical="center" wrapText="1" indent="1"/>
    </xf>
    <xf numFmtId="0" fontId="55" fillId="0" borderId="19" xfId="0" applyFont="1" applyBorder="1" applyNumberFormat="1">
      <alignment horizontal="center" vertical="center" wrapText="1"/>
    </xf>
    <xf numFmtId="0" fontId="45" fillId="0" borderId="0" xfId="0" applyFont="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25" xfId="0" applyFont="1" applyBorder="1" applyNumberFormat="1">
      <alignment vertical="top" wrapText="1"/>
    </xf>
    <xf numFmtId="0" fontId="55" fillId="0" borderId="19" xfId="0" applyFont="1" applyBorder="1" applyNumberFormat="1">
      <alignment horizontal="left" vertical="center" wrapText="1" indent="1"/>
    </xf>
    <xf numFmtId="49" fontId="34" fillId="39" borderId="14"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9" fillId="0" borderId="0" xfId="0" applyFont="1" applyNumberFormat="1">
      <alignment vertical="center"/>
    </xf>
    <xf numFmtId="0" fontId="96" fillId="0" borderId="0" xfId="0" applyFont="1" applyNumberFormat="1">
      <alignment vertical="center" wrapText="1"/>
    </xf>
    <xf numFmtId="49" fontId="96" fillId="0" borderId="0" xfId="0" applyFont="1" applyNumberFormat="1">
      <alignment horizontal="center" vertical="center" wrapText="1"/>
    </xf>
    <xf numFmtId="0" fontId="23" fillId="0" borderId="0" xfId="0" applyFont="1" applyNumberFormat="1">
      <alignment vertical="center" wrapText="1"/>
    </xf>
    <xf numFmtId="0" fontId="59" fillId="0" borderId="0" xfId="0" applyFont="1" applyNumberFormat="1">
      <alignment vertical="center" wrapText="1"/>
    </xf>
    <xf numFmtId="0" fontId="23" fillId="0" borderId="21" xfId="0" applyFont="1" applyBorder="1" applyNumberFormat="1">
      <alignment vertical="center" wrapText="1"/>
    </xf>
    <xf numFmtId="0" fontId="23" fillId="0" borderId="0" xfId="0" applyFont="1" applyNumberFormat="1">
      <alignment horizontal="center" vertical="center" wrapText="1"/>
    </xf>
    <xf numFmtId="49" fontId="40" fillId="0" borderId="0" xfId="0" applyFont="1" applyNumberFormat="1">
      <alignment horizontal="center" vertical="center" wrapText="1"/>
    </xf>
    <xf numFmtId="0" fontId="23" fillId="0" borderId="29" xfId="0" applyFont="1" applyBorder="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36" fillId="0" borderId="0" xfId="0" applyFont="1" applyNumberFormat="1">
      <alignment horizontal="center" vertical="center" wrapText="1"/>
    </xf>
    <xf numFmtId="49" fontId="68" fillId="0" borderId="0" xfId="0" applyFont="1" applyNumberFormat="1">
      <alignment horizontal="center" vertical="center" wrapText="1"/>
    </xf>
    <xf numFmtId="0" fontId="77" fillId="0" borderId="0" xfId="0" applyFont="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68" fillId="0" borderId="0" xfId="0" applyFont="1" applyNumberFormat="1">
      <alignment vertical="center" wrapText="1"/>
    </xf>
    <xf numFmtId="0" fontId="76" fillId="0" borderId="0" xfId="0" applyFont="1" applyNumberFormat="1">
      <alignment vertical="center" wrapText="1"/>
    </xf>
    <xf numFmtId="0" fontId="23" fillId="0" borderId="14" xfId="0" applyFont="1" applyBorder="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center" vertical="center" wrapText="1"/>
    </xf>
    <xf numFmtId="0" fontId="23" fillId="0" borderId="0" xfId="0" applyFont="1" applyNumberFormat="1">
      <alignment vertical="center" wrapText="1"/>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19" xfId="0" applyFont="1" applyBorder="1" applyNumberFormat="1">
      <alignment horizontal="center" vertical="center" wrapText="1"/>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38" borderId="14" xfId="0" applyFont="1" applyFill="1" applyBorder="1" applyNumberFormat="1">
      <alignment horizontal="left" vertical="center" wrapText="1" indent="1"/>
    </xf>
    <xf numFmtId="0" fontId="23" fillId="0" borderId="15" xfId="0" applyFont="1" applyBorder="1" applyNumberFormat="1">
      <alignment horizontal="left" vertical="center" wrapText="1" indent="1"/>
    </xf>
    <xf numFmtId="49" fontId="55" fillId="0" borderId="24" xfId="0" applyFont="1" applyBorder="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0" fontId="54" fillId="0" borderId="0" xfId="0" applyFont="1" applyNumberFormat="1">
      <alignment horizontal="center"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49" fontId="55"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25" xfId="0" applyFont="1" applyBorder="1" applyNumberFormat="1">
      <alignment horizontal="left" vertical="center" wrapText="1"/>
    </xf>
    <xf numFmtId="2" fontId="23" fillId="0" borderId="25" xfId="0" applyFont="1" applyBorder="1" applyNumberFormat="1">
      <alignment horizontal="center" vertical="center" wrapText="1"/>
    </xf>
    <xf numFmtId="0" fontId="23" fillId="0" borderId="14" xfId="0" applyFont="1" applyBorder="1" applyNumberFormat="1">
      <alignment horizontal="left" vertical="center" wrapText="1"/>
    </xf>
    <xf numFmtId="49" fontId="55" fillId="0" borderId="24" xfId="0" applyFont="1" applyBorder="1" applyNumberFormat="1">
      <alignment vertical="top"/>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24" xfId="0" applyFont="1" applyBorder="1" applyNumberFormat="1">
      <alignmen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23" fillId="0" borderId="25" xfId="0" applyFont="1" applyBorder="1" applyNumberFormat="1">
      <alignment horizontal="left" vertical="center" wrapText="1"/>
    </xf>
    <xf numFmtId="0" fontId="23" fillId="0" borderId="14" xfId="0" applyFont="1" applyBorder="1" applyNumberFormat="1">
      <alignment horizontal="left" vertical="center" wrapText="1"/>
    </xf>
    <xf numFmtId="0" fontId="54" fillId="0" borderId="0" xfId="0" applyFont="1" applyNumberFormat="1">
      <alignment horizontal="center" vertical="top"/>
    </xf>
    <xf numFmtId="0" fontId="55" fillId="0" borderId="0" xfId="0" applyFont="1" applyNumberFormat="1">
      <alignment horizontal="center" vertical="center" wrapText="1"/>
    </xf>
    <xf numFmtId="49" fontId="55" fillId="0" borderId="25" xfId="0" applyFont="1" applyBorder="1" applyNumberFormat="1">
      <alignment horizontal="center" vertical="center" wrapText="1"/>
    </xf>
    <xf numFmtId="49" fontId="48" fillId="0" borderId="21"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53" fillId="0" borderId="0" xfId="0" applyFont="1" applyNumberFormat="1">
      <alignment horizontal="left" vertical="top" wrapText="1"/>
    </xf>
    <xf numFmtId="49" fontId="40" fillId="0" borderId="0" xfId="0" applyFont="1" applyNumberFormat="1">
      <alignment horizontal="center" vertical="center" wrapText="1"/>
    </xf>
    <xf numFmtId="0" fontId="55" fillId="0" borderId="0" xfId="0" applyFont="1" applyNumberFormat="1">
      <alignment vertical="center" wrapText="1"/>
    </xf>
    <xf numFmtId="0" fontId="40"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55" fillId="0" borderId="16" xfId="0" applyFont="1" applyBorder="1" applyNumberFormat="1">
      <alignment vertical="center" wrapTex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55" fillId="0" borderId="16" xfId="0" applyFont="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14" xfId="0" applyFont="1" applyBorder="1" applyNumberFormat="1">
      <alignment horizontal="left" vertical="center" wrapText="1"/>
    </xf>
    <xf numFmtId="49" fontId="23" fillId="0" borderId="61" xfId="0" applyFont="1" applyBorder="1" applyNumberFormat="1">
      <alignment horizontal="center" vertical="center" wrapText="1"/>
    </xf>
    <xf numFmtId="0" fontId="23"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5"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9" fontId="48" fillId="40" borderId="21" xfId="0" applyFont="1" applyFill="1" applyBorder="1" applyNumberFormat="1">
      <alignment horizontal="left" vertical="center" indent="2"/>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9" xfId="0" applyFont="1" applyBorder="1" applyNumberFormat="1">
      <alignment horizontal="left" vertical="center" wrapText="1"/>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9" xfId="0" applyFont="1" applyBorder="1" applyNumberFormat="1">
      <alignment horizontal="left" vertical="center" wrapText="1" indent="1"/>
    </xf>
    <xf numFmtId="0" fontId="23" fillId="0" borderId="19"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left" vertical="center" wrapText="1" inden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horizontal="left" vertical="top"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9" fontId="23" fillId="58" borderId="0" xfId="0" applyFont="1" applyFill="1" applyNumberFormat="1">
      <alignment horizontal="center" vertical="center" textRotation="90"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76" fillId="0" borderId="24" xfId="0" applyFont="1" applyBorder="1" applyNumberFormat="1">
      <alignment vertical="center" wrapText="1"/>
    </xf>
    <xf numFmtId="49"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23" fillId="0" borderId="14" xfId="0" applyFont="1" applyBorder="1" applyNumberFormat="1">
      <alignment horizontal="center" vertical="center" wrapText="1"/>
    </xf>
    <xf numFmtId="49" fontId="23" fillId="39" borderId="14" xfId="0" applyFont="1" applyFill="1" applyBorder="1" applyNumberFormat="1">
      <alignment horizontal="left" vertical="center" wrapText="1"/>
      <protection locked="0"/>
    </xf>
    <xf numFmtId="3" fontId="23" fillId="39" borderId="16" xfId="0" applyFont="1" applyFill="1" applyBorder="1" applyNumberFormat="1">
      <alignment horizontal="right" vertical="center" wrapText="1"/>
      <protection locked="0"/>
    </xf>
    <xf numFmtId="4" fontId="23" fillId="39" borderId="16" xfId="0" applyFont="1" applyFill="1" applyBorder="1" applyNumberFormat="1">
      <alignment horizontal="right" vertical="center" wrapText="1"/>
      <protection locked="0"/>
    </xf>
    <xf numFmtId="49" fontId="23" fillId="42" borderId="14"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88" fillId="0" borderId="0" xfId="0" applyFont="1" applyNumberFormat="1">
      <alignment vertical="center" wrapText="1"/>
    </xf>
    <xf numFmtId="0" fontId="23" fillId="0" borderId="14" xfId="0" applyFont="1" applyBorder="1" applyNumberFormat="1">
      <alignment horizontal="left" vertical="center" wrapText="1" indent="2"/>
    </xf>
    <xf numFmtId="3" fontId="53" fillId="39" borderId="14" xfId="0" applyFont="1" applyFill="1" applyBorder="1" applyNumberFormat="1">
      <alignment horizontal="right" vertical="center"/>
      <protection locked="0"/>
    </xf>
    <xf numFmtId="49" fontId="23" fillId="39" borderId="16" xfId="0" applyFont="1" applyFill="1" applyBorder="1" applyNumberFormat="1">
      <alignment horizontal="left" vertical="center" wrapText="1"/>
      <protection locked="0"/>
    </xf>
    <xf numFmtId="0" fontId="53"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4" xfId="0" applyFont="1" applyBorder="1" applyNumberFormat="1">
      <alignment horizontal="left" vertical="center" wrapText="1"/>
    </xf>
    <xf numFmtId="49" fontId="23" fillId="0" borderId="34" xfId="0" applyFont="1" applyBorder="1" applyNumberFormat="1">
      <alignment horizontal="center" vertical="center" wrapText="1"/>
    </xf>
    <xf numFmtId="0" fontId="23" fillId="0" borderId="34" xfId="0" applyFont="1" applyBorder="1" applyNumberFormat="1">
      <alignment horizontal="left" vertical="center" wrapText="1"/>
    </xf>
    <xf numFmtId="4" fontId="23" fillId="0" borderId="42" xfId="0" applyFont="1" applyBorder="1" applyNumberFormat="1">
      <alignment horizontal="center" vertical="center" wrapText="1"/>
    </xf>
    <xf numFmtId="49" fontId="34" fillId="0" borderId="32"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5"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34" fillId="0" borderId="16" xfId="0" applyFont="1" applyBorder="1" applyNumberFormat="1">
      <alignment horizontal="left" vertical="center" wrapText="1"/>
    </xf>
    <xf numFmtId="4" fontId="23" fillId="0" borderId="19"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0" fontId="23" fillId="0" borderId="35" xfId="0" applyFont="1" applyBorder="1" applyNumberFormat="1">
      <alignment horizontal="left" vertical="center" wrapText="1"/>
    </xf>
    <xf numFmtId="49" fontId="34" fillId="0" borderId="17"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0" borderId="34"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2"/>
    </xf>
    <xf numFmtId="4" fontId="23" fillId="0" borderId="33" xfId="0" applyFont="1" applyBorder="1" applyNumberFormat="1">
      <alignment horizontal="center" vertical="center" wrapText="1"/>
    </xf>
    <xf numFmtId="49" fontId="23" fillId="0" borderId="36" xfId="0" applyFont="1" applyBorder="1" applyNumberFormat="1">
      <alignment horizontal="center" vertical="center" wrapText="1"/>
    </xf>
    <xf numFmtId="49" fontId="34" fillId="42" borderId="14"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 fontId="23" fillId="0" borderId="37" xfId="0" applyFont="1" applyBorder="1" applyNumberFormat="1">
      <alignment horizontal="center" vertical="center" wrapText="1"/>
    </xf>
    <xf numFmtId="49" fontId="34" fillId="0" borderId="39" xfId="0" applyFont="1" applyBorder="1" applyNumberFormat="1">
      <alignment horizontal="left" vertical="center" wrapText="1"/>
    </xf>
    <xf numFmtId="49" fontId="23" fillId="0" borderId="35"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 fontId="23" fillId="42" borderId="36" xfId="0" applyFont="1" applyFill="1" applyBorder="1" applyNumberFormat="1">
      <alignment horizontal="right" vertical="center" wrapText="1"/>
      <protection locked="0"/>
    </xf>
    <xf numFmtId="49" fontId="34" fillId="42" borderId="16" xfId="0" applyFont="1" applyFill="1" applyBorder="1" applyNumberFormat="1">
      <alignment horizontal="left" vertical="center" wrapText="1"/>
      <protection locked="0"/>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0" fillId="0" borderId="16" xfId="0" applyFont="1" applyBorder="1" applyNumberFormat="1">
      <alignment horizontal="center" vertical="center"/>
    </xf>
    <xf numFmtId="0" fontId="23" fillId="0" borderId="15" xfId="0" applyFont="1" applyBorder="1" applyNumberFormat="1">
      <alignment horizontal="center" vertical="center" wrapText="1"/>
    </xf>
    <xf numFmtId="167" fontId="0" fillId="39"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44" fillId="0" borderId="0" xfId="0" applyFont="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0" borderId="15"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5" xfId="0" applyFont="1" applyBorder="1" applyNumberFormat="1">
      <alignment horizontal="center"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vertical="center" wrapText="1"/>
    </xf>
    <xf numFmtId="0" fontId="23" fillId="40" borderId="29" xfId="0" applyFont="1" applyFill="1" applyBorder="1" applyNumberFormat="1">
      <alignment vertical="center" wrapText="1"/>
    </xf>
    <xf numFmtId="0" fontId="44" fillId="0" borderId="0" xfId="0" applyFont="1" applyNumberFormat="1">
      <alignment horizontal="center" vertical="center" wrapText="1"/>
    </xf>
    <xf numFmtId="0" fontId="88" fillId="0" borderId="0" xfId="0" applyFont="1" applyNumberFormat="1">
      <alignment vertical="center" wrapText="1"/>
    </xf>
    <xf numFmtId="49" fontId="54" fillId="0" borderId="0" xfId="0" applyFont="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49" fontId="103" fillId="0" borderId="0" xfId="0" applyFont="1" applyNumberFormat="1">
      <alignment horizontal="center"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0" fontId="0" fillId="0" borderId="14" xfId="0" applyFont="1" applyBorder="1" applyNumberFormat="1">
      <alignment horizontal="left" vertical="center" wrapText="1" indent="1"/>
    </xf>
    <xf numFmtId="49"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55" fillId="0" borderId="0" xfId="0" applyFont="1" applyNumberFormat="1">
      <alignment horizontal="center" vertical="center" wrapText="1"/>
    </xf>
    <xf numFmtId="49" fontId="23" fillId="0" borderId="16" xfId="0" applyFont="1" applyBorder="1" applyNumberFormat="1">
      <alignment horizontal="center" vertical="center" wrapText="1"/>
    </xf>
    <xf numFmtId="49" fontId="48" fillId="40" borderId="16" xfId="0" applyFont="1" applyFill="1" applyBorder="1" applyNumberFormat="1">
      <alignment horizontal="left" vertical="center" indent="1"/>
    </xf>
    <xf numFmtId="0" fontId="23" fillId="40" borderId="31" xfId="0" applyFont="1" applyFill="1" applyBorder="1" applyNumberFormat="1">
      <alignment vertical="center" wrapText="1"/>
    </xf>
    <xf numFmtId="49" fontId="54" fillId="0" borderId="0" xfId="0" applyFont="1" applyNumberFormat="1">
      <alignment horizontal="center" vertical="center" wrapText="1"/>
    </xf>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78" fillId="0" borderId="41" xfId="0" applyFont="1" applyBorder="1" applyNumberFormat="1">
      <alignment vertical="top"/>
    </xf>
    <xf numFmtId="49" fontId="78" fillId="0" borderId="41" xfId="0" applyFont="1" applyBorder="1" applyNumberFormat="1">
      <alignment vertical="top"/>
    </xf>
    <xf numFmtId="0" fontId="36" fillId="37" borderId="41" xfId="0" applyFont="1" applyFill="1" applyBorder="1" applyNumberFormat="1">
      <alignment horizontal="center" wrapText="1"/>
    </xf>
    <xf numFmtId="0" fontId="36" fillId="37" borderId="41" xfId="0" applyFont="1" applyFill="1" applyBorder="1" applyNumberFormat="1">
      <alignment horizont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40" xfId="0" applyFont="1" applyBorder="1" applyNumberFormat="1">
      <alignmen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0" fillId="0" borderId="14" xfId="0" applyFont="1" applyBorder="1" applyNumberFormat="1">
      <alignment horizontal="center" vertical="center" wrapText="1"/>
    </xf>
    <xf numFmtId="49" fontId="23" fillId="0" borderId="0" xfId="0" applyFont="1" applyNumberFormat="1">
      <alignment vertical="top"/>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0" fontId="23" fillId="37" borderId="0" xfId="0" applyFont="1" applyFill="1" applyNumberFormat="1">
      <alignment vertical="center" wrapText="1"/>
    </xf>
    <xf numFmtId="0" fontId="23" fillId="37" borderId="21" xfId="0" applyFont="1" applyFill="1" applyBorder="1" applyNumberFormat="1">
      <alignment vertical="center" wrapText="1"/>
    </xf>
    <xf numFmtId="49" fontId="23" fillId="0" borderId="0" xfId="0" applyFont="1" applyNumberFormat="1">
      <alignment vertical="top"/>
    </xf>
    <xf numFmtId="49" fontId="55" fillId="0" borderId="0" xfId="0" applyFont="1" applyNumberFormat="1">
      <alignment vertical="top"/>
    </xf>
    <xf numFmtId="0" fontId="55" fillId="0" borderId="41" xfId="0" applyFont="1" applyBorder="1" applyNumberFormat="1">
      <alignment vertical="center" wrapText="1"/>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0" fontId="23" fillId="0" borderId="40" xfId="0" applyFont="1" applyBorder="1" applyNumberFormat="1">
      <alignment vertical="center"/>
    </xf>
    <xf numFmtId="49" fontId="0" fillId="0" borderId="19"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23" fillId="0" borderId="24" xfId="0" applyFont="1" applyBorder="1" applyNumberFormat="1">
      <alignment vertical="top"/>
    </xf>
    <xf numFmtId="49" fontId="0" fillId="0" borderId="38"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xf>
    <xf numFmtId="49" fontId="0" fillId="38" borderId="14" xfId="0" applyFont="1" applyFill="1" applyBorder="1" applyNumberFormat="1">
      <alignment horizontal="center" vertical="center"/>
    </xf>
    <xf numFmtId="0" fontId="23" fillId="0" borderId="24" xfId="0" applyFont="1" applyBorder="1" applyNumberFormat="1">
      <alignment vertical="center" wrapText="1"/>
    </xf>
    <xf numFmtId="49" fontId="0" fillId="0" borderId="14"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 fontId="0" fillId="39"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horizontal="left" vertical="center" wrapText="1"/>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49" fontId="54" fillId="0" borderId="0" xfId="0" applyFont="1" applyNumberFormat="1">
      <alignment horizontal="center" vertical="center" wrapText="1"/>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23" fillId="0" borderId="0" xfId="0" applyFont="1" applyNumberFormat="1">
      <alignment horizontal="center" vertical="top" wrapText="1"/>
    </xf>
    <xf numFmtId="49" fontId="40"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2" xfId="0" applyFont="1" applyBorder="1" applyNumberFormat="1">
      <alignment horizontal="left" vertical="top" wrapText="1"/>
    </xf>
    <xf numFmtId="49" fontId="23" fillId="0" borderId="0" xfId="0" applyFont="1" applyNumberFormat="1">
      <alignment horizontal="center" vertical="center" wrapText="1"/>
    </xf>
    <xf numFmtId="49" fontId="40" fillId="0" borderId="0" xfId="0" applyFont="1" applyNumberFormat="1">
      <alignment horizontal="center" vertical="center" wrapText="1"/>
    </xf>
    <xf numFmtId="49" fontId="23" fillId="37" borderId="0" xfId="0" applyFont="1" applyFill="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49" fontId="53" fillId="37" borderId="0" xfId="0" applyFont="1" applyFill="1" applyNumberFormat="1">
      <alignment vertical="center" wrapText="1"/>
    </xf>
    <xf numFmtId="49" fontId="23" fillId="37" borderId="14"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49" fontId="23" fillId="0" borderId="0" xfId="0" applyFont="1" applyNumberFormat="1">
      <alignment vertical="center" wrapText="1"/>
    </xf>
    <xf numFmtId="49" fontId="53" fillId="0" borderId="0" xfId="0" applyFont="1" applyNumberFormat="1">
      <alignment vertical="top"/>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3" fillId="0" borderId="0" xfId="0" applyFont="1" applyNumberFormat="1">
      <alignment vertical="center"/>
    </xf>
    <xf numFmtId="49" fontId="53" fillId="37" borderId="0" xfId="0" applyFont="1" applyFill="1" applyNumberFormat="1">
      <alignment vertical="center"/>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104"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49" fontId="53" fillId="0" borderId="0" xfId="0" applyFont="1" applyNumberFormat="1">
      <alignment vertical="center" wrapText="1"/>
    </xf>
    <xf numFmtId="49" fontId="53" fillId="0" borderId="0" xfId="0" applyFont="1" applyNumberFormat="1">
      <alignment vertical="top"/>
    </xf>
    <xf numFmtId="0" fontId="53" fillId="0" borderId="0" xfId="0" applyFont="1" applyNumberFormat="1">
      <alignment vertical="center" wrapText="1"/>
    </xf>
    <xf numFmtId="49" fontId="99" fillId="0" borderId="0" xfId="0" applyFont="1" applyNumberFormat="1">
      <alignment vertical="center" wrapText="1"/>
    </xf>
    <xf numFmtId="49" fontId="53" fillId="0" borderId="0" xfId="0" applyFont="1" applyNumberFormat="1">
      <alignment vertical="center" wrapText="1"/>
    </xf>
    <xf numFmtId="49" fontId="104" fillId="0" borderId="0" xfId="0" applyFont="1" applyNumberFormat="1">
      <alignment vertical="center"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4" xfId="0" applyFont="1" applyBorder="1" applyNumberFormat="1">
      <alignment horizontal="left" vertical="top" wrapText="1"/>
    </xf>
    <xf numFmtId="3" fontId="23" fillId="42" borderId="16" xfId="0" applyFont="1" applyFill="1" applyBorder="1" applyNumberFormat="1">
      <alignment vertical="center" wrapText="1"/>
      <protection locked="0"/>
    </xf>
    <xf numFmtId="0" fontId="23" fillId="0" borderId="14" xfId="0" applyFont="1" applyBorder="1" applyNumberFormat="1">
      <alignment vertical="top" wrapText="1"/>
    </xf>
    <xf numFmtId="0" fontId="23" fillId="0" borderId="14" xfId="0" applyFont="1" applyBorder="1" applyNumberFormat="1">
      <alignment horizontal="left" vertical="top" wrapText="1"/>
    </xf>
    <xf numFmtId="4" fontId="23" fillId="38" borderId="16" xfId="0" applyFont="1" applyFill="1" applyBorder="1" applyNumberFormat="1">
      <alignment horizontal="right" vertical="center" wrapText="1"/>
    </xf>
    <xf numFmtId="0" fontId="54" fillId="0" borderId="14" xfId="0" applyFont="1" applyBorder="1" applyNumberFormat="1">
      <alignment vertical="top" wrapText="1"/>
    </xf>
    <xf numFmtId="0" fontId="45" fillId="0" borderId="0" xfId="0" applyFont="1" applyNumberFormat="1">
      <alignment horizontal="center" vertical="center" wrapText="1"/>
    </xf>
    <xf numFmtId="49" fontId="23" fillId="42" borderId="14"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7"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0"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4" fillId="37" borderId="0" xfId="0" applyFont="1" applyFill="1" applyNumberFormat="1">
      <alignment horizontal="center" vertical="center" wrapText="1"/>
    </xf>
    <xf numFmtId="49" fontId="23" fillId="0" borderId="0" xfId="0" applyFont="1" applyNumberFormat="1">
      <alignment vertical="top"/>
    </xf>
    <xf numFmtId="49" fontId="0" fillId="37" borderId="14" xfId="0" applyFont="1" applyFill="1" applyBorder="1" applyNumberFormat="1">
      <alignment horizontal="center" vertical="center" wrapText="1"/>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34" fillId="42" borderId="14" xfId="0" applyFont="1" applyFill="1" applyBorder="1" applyNumberFormat="1">
      <alignment horizontal="left" vertical="center" wrapText="1"/>
      <protection locked="0"/>
    </xf>
    <xf numFmtId="0"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49" fontId="52" fillId="40" borderId="15"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47" fillId="37" borderId="0" xfId="0" applyFont="1" applyFill="1" applyNumberFormat="1">
      <alignment vertical="center" wrapText="1"/>
    </xf>
    <xf numFmtId="49" fontId="52" fillId="40" borderId="17" xfId="0" applyFont="1" applyFill="1" applyBorder="1" applyNumberFormat="1">
      <alignment horizontal="center" vertical="top"/>
    </xf>
    <xf numFmtId="0" fontId="55" fillId="0" borderId="0" xfId="0" applyFont="1" applyNumberFormat="1">
      <alignment vertical="center"/>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49" fontId="72" fillId="0" borderId="14" xfId="0" applyFont="1" applyBorder="1" applyNumberFormat="1">
      <alignment horizontal="center" vertical="center" wrapText="1"/>
    </xf>
    <xf numFmtId="0" fontId="72" fillId="0" borderId="14" xfId="0" applyFont="1" applyBorder="1" applyNumberFormat="1">
      <alignment horizontal="left" vertical="center" wrapText="1" indent="2"/>
    </xf>
    <xf numFmtId="49" fontId="75" fillId="0" borderId="16" xfId="0" applyFont="1" applyBorder="1" applyNumberFormat="1">
      <alignment horizontal="left" vertical="center" wrapText="1"/>
    </xf>
    <xf numFmtId="0" fontId="23" fillId="0" borderId="19" xfId="0" applyFont="1" applyBorder="1" applyNumberFormat="1">
      <alignment vertical="top" wrapText="1"/>
    </xf>
    <xf numFmtId="49" fontId="48" fillId="40" borderId="17" xfId="0" applyFont="1" applyFill="1" applyBorder="1" applyNumberFormat="1">
      <alignment horizontal="left" vertical="center" indent="1"/>
    </xf>
    <xf numFmtId="0" fontId="23" fillId="0" borderId="25" xfId="0" applyFont="1" applyBorder="1" applyNumberFormat="1">
      <alignment vertical="top"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4" fillId="0" borderId="0" xfId="0" applyFont="1" applyNumberFormat="1">
      <alignment vertical="center" wrapText="1"/>
    </xf>
    <xf numFmtId="0" fontId="47" fillId="0" borderId="0" xfId="0" applyFont="1" applyNumberFormat="1">
      <alignment vertical="center" wrapText="1"/>
    </xf>
    <xf numFmtId="49" fontId="54" fillId="0" borderId="0" xfId="0" applyFont="1" applyNumberFormat="1">
      <alignment vertical="top"/>
    </xf>
    <xf numFmtId="49" fontId="126" fillId="0" borderId="0" xfId="0" applyFont="1" applyNumberFormat="1">
      <alignment horizontal="center" vertical="center" wrapText="1"/>
    </xf>
    <xf numFmtId="0" fontId="0" fillId="42" borderId="14" xfId="0" applyFont="1" applyFill="1" applyBorder="1" applyNumberFormat="1">
      <alignment horizontal="left" vertical="center" wrapText="1" indent="1"/>
      <protection locked="0"/>
    </xf>
    <xf numFmtId="49" fontId="34" fillId="42" borderId="14" xfId="0" applyFont="1" applyFill="1" applyBorder="1" applyNumberFormat="1">
      <alignment horizontal="left" vertical="center" wrapText="1"/>
      <protection locked="0"/>
    </xf>
    <xf numFmtId="0" fontId="47" fillId="0" borderId="0" xfId="0" applyFont="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0" fillId="0" borderId="14" xfId="0" applyFont="1" applyBorder="1" applyNumberFormat="1">
      <alignment horizontal="left" vertical="center" wrapText="1"/>
    </xf>
    <xf numFmtId="167" fontId="0" fillId="42" borderId="14" xfId="0" applyFont="1" applyFill="1" applyBorder="1" applyNumberFormat="1">
      <alignment horizontal="left" vertical="center" wrapText="1"/>
      <protection locked="0"/>
    </xf>
    <xf numFmtId="0" fontId="130" fillId="42" borderId="14" xfId="0" applyFont="1" applyFill="1" applyBorder="1" applyNumberFormat="1">
      <alignment horizontal="left" vertical="center" wrapText="1"/>
      <protection locked="0"/>
    </xf>
    <xf numFmtId="49" fontId="13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0" fillId="0" borderId="14" xfId="0" applyFont="1" applyBorder="1" applyNumberFormat="1">
      <alignment horizontal="left"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4" xfId="0" applyFont="1" applyBorder="1" applyNumberFormat="1">
      <alignment vertical="top" wrapText="1"/>
    </xf>
    <xf numFmtId="49" fontId="54" fillId="0" borderId="0" xfId="0" applyFont="1" applyNumberFormat="1">
      <alignment vertical="top"/>
    </xf>
    <xf numFmtId="49" fontId="126" fillId="0" borderId="0" xfId="0" applyFont="1" applyNumberFormat="1">
      <alignment horizontal="center" vertical="center" wrapText="1"/>
    </xf>
    <xf numFmtId="49" fontId="0" fillId="37" borderId="14" xfId="0" applyFont="1" applyFill="1" applyBorder="1" applyNumberFormat="1">
      <alignment horizontal="center" vertical="center" wrapText="1"/>
    </xf>
    <xf numFmtId="0" fontId="0" fillId="42" borderId="14" xfId="0" applyFont="1" applyFill="1" applyBorder="1" applyNumberFormat="1">
      <alignment horizontal="left" vertical="center" wrapText="1" indent="1"/>
      <protection locked="0"/>
    </xf>
    <xf numFmtId="49" fontId="130" fillId="42" borderId="14" xfId="0" applyFont="1" applyFill="1" applyBorder="1" applyNumberFormat="1">
      <alignment horizontal="left" vertical="center" wrapText="1"/>
      <protection locked="0"/>
    </xf>
    <xf numFmtId="0" fontId="55" fillId="0" borderId="0" xfId="0" applyFont="1" applyNumberFormat="1">
      <alignment vertical="center"/>
    </xf>
    <xf numFmtId="49" fontId="48" fillId="40" borderId="17" xfId="0" applyFont="1" applyFill="1" applyBorder="1" applyNumberFormat="1">
      <alignment horizontal="left" vertical="center" indent="2"/>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protection locked="0"/>
    </xf>
    <xf numFmtId="49" fontId="48" fillId="40" borderId="17" xfId="0" applyFont="1" applyFill="1" applyBorder="1" applyNumberFormat="1">
      <alignment horizontal="left" vertical="center" indent="3"/>
    </xf>
    <xf numFmtId="49" fontId="23" fillId="43" borderId="14" xfId="0" applyFont="1" applyFill="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5" xfId="0" applyFont="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49" fontId="52" fillId="40" borderId="15" xfId="0" applyFont="1" applyFill="1" applyBorder="1" applyNumberFormat="1">
      <alignment horizontal="center" vertical="top"/>
    </xf>
    <xf numFmtId="0" fontId="0" fillId="0" borderId="15"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4" xfId="0" applyFont="1" applyBorder="1" applyNumberFormat="1">
      <alignment horizontal="center" vertical="center" wrapText="1"/>
    </xf>
    <xf numFmtId="0" fontId="23" fillId="0" borderId="17" xfId="0" applyFont="1" applyBorder="1" applyNumberFormat="1">
      <alignment horizontal="left" vertical="top" wrapText="1" indent="1"/>
    </xf>
    <xf numFmtId="0" fontId="22" fillId="0" borderId="0" xfId="0" applyFont="1" applyNumberFormat="1">
      <alignment vertical="center" wrapText="1"/>
    </xf>
    <xf numFmtId="0" fontId="0" fillId="37" borderId="16" xfId="0" applyFont="1" applyFill="1" applyBorder="1" applyNumberFormat="1">
      <alignment horizontal="right" vertical="center" wrapText="1" indent="1"/>
    </xf>
    <xf numFmtId="0" fontId="76" fillId="0" borderId="0" xfId="0" applyFont="1" applyNumberFormat="1">
      <alignment vertical="center" wrapText="1"/>
    </xf>
    <xf numFmtId="49" fontId="44" fillId="37" borderId="0" xfId="0" applyFont="1" applyFill="1" applyNumberFormat="1">
      <alignment horizontal="center" vertical="center" wrapText="1"/>
    </xf>
    <xf numFmtId="49" fontId="44" fillId="37" borderId="21" xfId="0" applyFont="1" applyFill="1" applyBorder="1" applyNumberFormat="1">
      <alignment horizontal="center" vertical="center" wrapText="1"/>
    </xf>
    <xf numFmtId="49" fontId="0" fillId="37" borderId="19"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23" fillId="0" borderId="14" xfId="0" applyFont="1" applyBorder="1" applyNumberFormat="1">
      <alignment horizontal="left" vertical="center" wrapText="1"/>
    </xf>
    <xf numFmtId="0" fontId="47" fillId="37" borderId="0" xfId="0" applyFont="1" applyFill="1" applyNumberFormat="1">
      <alignment horizontal="center" vertical="top" wrapText="1"/>
    </xf>
    <xf numFmtId="0" fontId="0" fillId="38" borderId="16" xfId="0" applyFont="1" applyFill="1" applyBorder="1" applyNumberFormat="1">
      <alignment horizontal="left" vertical="center" wrapText="1" indent="1"/>
    </xf>
    <xf numFmtId="0" fontId="0" fillId="0" borderId="15" xfId="0" applyFont="1" applyBorder="1" applyNumberFormat="1">
      <alignment horizontal="center" vertical="center" wrapText="1"/>
    </xf>
    <xf numFmtId="0" fontId="0" fillId="0" borderId="15" xfId="0" applyFont="1" applyBorder="1" applyNumberFormat="1">
      <alignment horizontal="center" vertical="center" wrapText="1"/>
    </xf>
    <xf numFmtId="49" fontId="48" fillId="40" borderId="29" xfId="0" applyFont="1" applyFill="1" applyBorder="1" applyNumberFormat="1">
      <alignment horizontal="left" vertical="center" indent="2"/>
    </xf>
    <xf numFmtId="49" fontId="48" fillId="40" borderId="17" xfId="0" applyFont="1" applyFill="1" applyBorder="1" applyNumberFormat="1">
      <alignment horizontal="left" vertical="center"/>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23" fillId="0" borderId="0" xfId="0" applyFont="1" applyNumberFormat="1">
      <alignment vertical="center" wrapText="1"/>
    </xf>
    <xf numFmtId="0" fontId="23" fillId="0" borderId="0" xfId="0" applyFont="1" applyNumberFormat="1">
      <alignment vertical="top" wrapText="1"/>
    </xf>
    <xf numFmtId="0" fontId="47" fillId="0" borderId="0" xfId="0" applyFont="1" applyNumberFormat="1">
      <alignment vertical="center" wrapText="1"/>
    </xf>
    <xf numFmtId="0" fontId="23" fillId="0" borderId="38" xfId="0" applyFont="1" applyBorder="1" applyNumberFormat="1">
      <alignment vertical="center" wrapText="1"/>
    </xf>
    <xf numFmtId="0" fontId="0" fillId="38" borderId="14" xfId="0" applyFont="1" applyFill="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0" fontId="76" fillId="0" borderId="0" xfId="0" applyFont="1" applyNumberFormat="1">
      <alignment vertical="center" wrapText="1"/>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0" fontId="23" fillId="0" borderId="14" xfId="0" applyFont="1" applyBorder="1" applyNumberFormat="1">
      <alignment vertical="top" wrapText="1"/>
    </xf>
    <xf numFmtId="49" fontId="0" fillId="37" borderId="16" xfId="0" applyFont="1" applyFill="1" applyBorder="1" applyNumberFormat="1">
      <alignment horizontal="center" vertical="center" wrapText="1"/>
    </xf>
    <xf numFmtId="0" fontId="23" fillId="0" borderId="38" xfId="0" applyFont="1" applyBorder="1" applyNumberFormat="1">
      <alignment horizontal="left" vertical="top" wrapText="1"/>
    </xf>
    <xf numFmtId="4" fontId="0" fillId="42" borderId="14" xfId="0" applyFont="1" applyFill="1" applyBorder="1" applyNumberFormat="1">
      <alignment horizontal="right" vertical="center" wrapText="1"/>
      <protection locked="0"/>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23" fillId="0" borderId="0" xfId="0" applyFont="1" applyNumberFormat="1">
      <alignment vertical="top"/>
    </xf>
    <xf numFmtId="49" fontId="23" fillId="0" borderId="21"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5" fillId="0" borderId="0" xfId="0" applyFont="1" applyNumberFormat="1">
      <alignment vertical="center"/>
    </xf>
    <xf numFmtId="49" fontId="23" fillId="0" borderId="0" xfId="0" applyFont="1" applyNumberFormat="1">
      <alignment vertical="top"/>
    </xf>
    <xf numFmtId="49" fontId="0" fillId="42" borderId="14" xfId="0" applyFont="1" applyFill="1" applyBorder="1" applyNumberFormat="1">
      <alignment horizontal="left" vertical="center" wrapText="1" indent="1"/>
      <protection locked="0"/>
    </xf>
    <xf numFmtId="0" fontId="23" fillId="0" borderId="0" xfId="0" applyFont="1" applyNumberFormat="1">
      <alignment vertical="center" wrapText="1"/>
    </xf>
    <xf numFmtId="0" fontId="69" fillId="0" borderId="0" xfId="0" applyFont="1" applyNumberFormat="1">
      <alignment vertical="center" wrapText="1"/>
    </xf>
    <xf numFmtId="0" fontId="23" fillId="37" borderId="14" xfId="0" applyFont="1" applyFill="1" applyBorder="1" applyNumberFormat="1">
      <alignment horizontal="center" vertical="center" wrapText="1"/>
    </xf>
    <xf numFmtId="0" fontId="0" fillId="0" borderId="14" xfId="0" applyFont="1" applyBorder="1" applyNumberFormat="1">
      <alignment horizontal="left" vertical="top"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0" borderId="21" xfId="0" applyFont="1" applyBorder="1" applyNumberFormat="1">
      <alignment vertical="center" wrapText="1"/>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49" fontId="23" fillId="0" borderId="0" xfId="0" applyFont="1" applyNumberFormat="1">
      <alignment vertical="center" wrapText="1"/>
    </xf>
    <xf numFmtId="0" fontId="88"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0" borderId="14" xfId="0" applyFont="1" applyBorder="1" applyNumberFormat="1">
      <alignment horizontal="center" vertical="center" wrapText="1"/>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40" fillId="49" borderId="0" xfId="0" applyFont="1" applyFill="1" applyNumberFormat="1">
      <alignment horizontal="center" vertical="center"/>
    </xf>
    <xf numFmtId="49" fontId="23" fillId="0" borderId="14" xfId="0" applyFont="1" applyBorder="1" applyNumberFormat="1">
      <alignment horizontal="center" vertical="top"/>
    </xf>
    <xf numFmtId="49" fontId="54" fillId="49" borderId="0" xfId="0" applyFont="1" applyFill="1" applyNumberFormat="1">
      <alignment horizontal="center" vertical="center" wrapText="1"/>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23" fillId="0" borderId="16" xfId="0" applyFont="1" applyBorder="1" applyNumberFormat="1">
      <alignment horizontal="left" vertical="center"/>
    </xf>
    <xf numFmtId="49" fontId="23" fillId="0" borderId="46" xfId="0" applyFont="1" applyBorder="1" applyNumberFormat="1">
      <alignment vertical="center"/>
    </xf>
    <xf numFmtId="49" fontId="23" fillId="0" borderId="47" xfId="0" applyFont="1" applyBorder="1" applyNumberFormat="1">
      <alignment vertical="top"/>
    </xf>
    <xf numFmtId="49" fontId="23" fillId="0" borderId="18"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0" fontId="0" fillId="50" borderId="0" xfId="0" applyFont="1" applyFill="1" applyNumberFormat="1">
      <alignment horizontal="right" vertical="center"/>
    </xf>
    <xf numFmtId="49" fontId="40" fillId="0" borderId="0" xfId="0" applyFont="1" applyNumberFormat="1">
      <alignment horizontal="center" vertical="center"/>
    </xf>
    <xf numFmtId="49" fontId="0" fillId="0" borderId="0" xfId="0" applyFont="1" applyNumberFormat="1">
      <alignment vertical="top"/>
    </xf>
    <xf numFmtId="49" fontId="40" fillId="49" borderId="0" xfId="0" applyFont="1" applyFill="1" applyNumberFormat="1">
      <alignment horizontal="center" vertical="center"/>
    </xf>
    <xf numFmtId="0" fontId="23" fillId="0" borderId="0" xfId="0" applyFont="1" applyNumberFormat="1">
      <alignment vertical="center"/>
    </xf>
    <xf numFmtId="0" fontId="0" fillId="50"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6" xfId="0" applyFont="1" applyBorder="1" applyNumberFormat="1">
      <alignment vertical="top"/>
    </xf>
    <xf numFmtId="0" fontId="0" fillId="50" borderId="0" xfId="0" applyFont="1" applyFill="1" applyNumberFormat="1">
      <alignment horizontal="right" vertical="center"/>
    </xf>
    <xf numFmtId="0" fontId="0" fillId="0" borderId="0" xfId="0" applyFont="1" applyNumberFormat="1">
      <alignment horizontal="left" vertical="center"/>
    </xf>
    <xf numFmtId="0" fontId="0" fillId="50" borderId="0" xfId="0" applyFont="1" applyFill="1" applyNumberFormat="1">
      <alignment horizontal="right" vertical="center"/>
    </xf>
    <xf numFmtId="0" fontId="0" fillId="50" borderId="0" xfId="0" applyFont="1" applyFill="1" applyNumberFormat="1">
      <alignment horizontal="left" vertical="center"/>
    </xf>
    <xf numFmtId="0" fontId="59" fillId="50"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9" fillId="0" borderId="0" xfId="0" applyFont="1" applyNumberFormat="1">
      <alignment horizontal="left" vertical="center"/>
    </xf>
    <xf numFmtId="49" fontId="0" fillId="0" borderId="16" xfId="0" applyFont="1" applyBorder="1" applyNumberFormat="1">
      <alignment vertical="top"/>
    </xf>
    <xf numFmtId="49" fontId="23" fillId="0" borderId="14" xfId="0" applyFont="1" applyBorder="1" applyNumberFormat="1">
      <alignment horizontal="right" vertical="top"/>
    </xf>
    <xf numFmtId="0" fontId="0" fillId="0" borderId="16" xfId="0" applyFont="1" applyBorder="1" applyNumberFormat="1">
      <alignment horizontal="left" vertical="center"/>
    </xf>
    <xf numFmtId="0" fontId="59" fillId="50" borderId="0" xfId="0" applyFont="1" applyFill="1" applyNumberFormat="1">
      <alignment horizontal="left" vertical="center"/>
    </xf>
    <xf numFmtId="49" fontId="23" fillId="0" borderId="19" xfId="0" applyFont="1" applyBorder="1" applyNumberFormat="1">
      <alignment horizontal="righ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14" xfId="0" applyFont="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0" fontId="23" fillId="50" borderId="0" xfId="0" applyFont="1" applyFill="1" applyNumberFormat="1">
      <alignment horizontal="left" vertical="center"/>
    </xf>
    <xf numFmtId="0" fontId="0" fillId="50" borderId="12" xfId="0" applyFont="1" applyFill="1" applyBorder="1" applyNumberFormat="1">
      <alignment horizontal="center"/>
    </xf>
    <xf numFmtId="49" fontId="109" fillId="0" borderId="18" xfId="0" applyFont="1" applyBorder="1" applyNumberFormat="1">
      <alignment vertical="top"/>
    </xf>
    <xf numFmtId="49" fontId="0" fillId="0" borderId="0" xfId="0" applyFont="1" applyNumberFormat="1">
      <alignment vertical="center"/>
    </xf>
    <xf numFmtId="49" fontId="53" fillId="56" borderId="0" xfId="0" applyFont="1" applyFill="1" applyNumberFormat="1">
      <alignment vertical="center" wrapText="1"/>
    </xf>
    <xf numFmtId="0" fontId="0" fillId="0" borderId="12" xfId="0" applyFont="1" applyBorder="1" applyNumberFormat="1">
      <alignment horizontal="center"/>
    </xf>
    <xf numFmtId="49" fontId="23" fillId="50" borderId="0" xfId="0" applyFont="1" applyFill="1" applyNumberFormat="1">
      <alignment horizontal="center" vertical="center"/>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0" fontId="0" fillId="34" borderId="14" xfId="0" applyFont="1" applyFill="1" applyBorder="1" applyNumberFormat="1">
      <alignment horizontal="right" vertical="center"/>
    </xf>
    <xf numFmtId="49" fontId="23" fillId="34" borderId="25" xfId="0" applyFont="1" applyFill="1" applyBorder="1" applyNumberFormat="1">
      <alignment vertical="top"/>
    </xf>
    <xf numFmtId="49" fontId="23" fillId="34" borderId="14" xfId="0" applyFont="1" applyFill="1" applyBorder="1" applyNumberFormat="1">
      <alignment vertical="top"/>
    </xf>
    <xf numFmtId="49" fontId="23" fillId="0" borderId="16" xfId="0" applyFont="1" applyBorder="1" applyNumberFormat="1">
      <alignment horizontal="center" vertical="top"/>
    </xf>
    <xf numFmtId="49" fontId="23" fillId="0" borderId="15" xfId="0" applyFont="1" applyBorder="1" applyNumberFormat="1">
      <alignment horizontal="center" vertical="top"/>
    </xf>
    <xf numFmtId="0" fontId="23" fillId="38" borderId="32" xfId="0" applyFont="1" applyFill="1" applyBorder="1" applyNumberFormat="1">
      <alignment horizontal="center" vertical="top"/>
    </xf>
    <xf numFmtId="0" fontId="23" fillId="38" borderId="32" xfId="0" applyFont="1" applyFill="1" applyBorder="1" applyNumberFormat="1">
      <alignment horizontal="left" vertical="top"/>
    </xf>
    <xf numFmtId="0" fontId="0" fillId="0" borderId="34" xfId="0" applyFont="1" applyBorder="1" applyNumberFormat="1">
      <alignment horizontal="center" vertical="center"/>
    </xf>
    <xf numFmtId="0" fontId="0" fillId="0" borderId="36" xfId="0" applyFont="1" applyBorder="1" applyNumberFormat="1">
      <alignment horizontal="center" vertical="center"/>
    </xf>
    <xf numFmtId="0" fontId="23" fillId="0" borderId="14" xfId="0" applyFont="1" applyBorder="1" applyNumberFormat="1">
      <alignment horizontal="left" vertical="top"/>
    </xf>
    <xf numFmtId="49" fontId="23" fillId="0" borderId="0" xfId="0" applyFont="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49" fontId="40" fillId="49" borderId="16" xfId="0" applyFont="1" applyFill="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50"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0" fontId="23" fillId="42" borderId="14" xfId="0" applyFont="1" applyFill="1" applyBorder="1" applyNumberFormat="1">
      <alignment horizontal="center" vertical="center" wrapText="1"/>
      <protection locked="0"/>
    </xf>
    <xf numFmtId="0" fontId="54" fillId="37" borderId="0" xfId="0" applyFont="1" applyFill="1" applyNumberFormat="1"/>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8" borderId="14" xfId="0" applyFont="1" applyFill="1" applyBorder="1" applyNumberFormat="1">
      <alignment horizontal="left" vertical="center" wrapText="1"/>
    </xf>
    <xf numFmtId="0" fontId="73" fillId="37" borderId="0" xfId="0" applyFont="1" applyFill="1" applyNumberFormat="1"/>
    <xf numFmtId="0" fontId="23" fillId="37" borderId="14" xfId="0" applyFont="1" applyFill="1" applyBorder="1" applyNumberFormat="1">
      <alignment horizontal="left"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0" fontId="55"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0" fillId="37" borderId="19" xfId="0" applyFont="1" applyFill="1" applyBorder="1" applyNumberFormat="1">
      <alignment horizontal="left" vertical="top" wrapText="1"/>
    </xf>
    <xf numFmtId="0" fontId="72" fillId="37" borderId="0" xfId="0" applyFont="1" applyFill="1" applyNumberFormat="1"/>
    <xf numFmtId="0" fontId="77" fillId="37" borderId="0" xfId="0" applyFont="1" applyFill="1" applyNumberFormat="1">
      <alignment vertical="center" wrapText="1"/>
    </xf>
    <xf numFmtId="0" fontId="55" fillId="37" borderId="14" xfId="0" applyFont="1" applyFill="1" applyBorder="1" applyNumberFormat="1">
      <alignment horizontal="center" vertical="center"/>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0" fontId="89" fillId="37" borderId="0" xfId="0" applyFont="1" applyFill="1" applyNumberFormat="1"/>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0" fontId="23" fillId="37" borderId="14" xfId="0" applyFont="1" applyFill="1" applyBorder="1" applyNumberFormat="1">
      <alignmen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14" fontId="23" fillId="42" borderId="14" xfId="0" applyFont="1" applyFill="1" applyBorder="1" applyNumberFormat="1">
      <alignment horizontal="left" vertical="center" wrapText="1" indent="1"/>
      <protection locked="0"/>
    </xf>
    <xf numFmtId="0" fontId="117" fillId="0" borderId="0" xfId="0" applyFont="1" applyNumberFormat="1">
      <alignment vertical="center"/>
    </xf>
    <xf numFmtId="0" fontId="45" fillId="0" borderId="0" xfId="0" applyFont="1" applyNumberFormat="1">
      <alignment horizontal="center" vertical="center" wrapText="1"/>
    </xf>
    <xf numFmtId="4" fontId="23" fillId="0" borderId="19" xfId="0" applyFont="1" applyBorder="1" applyNumberFormat="1">
      <alignment horizontal="center" vertical="center" wrapText="1"/>
    </xf>
    <xf numFmtId="165" fontId="23" fillId="0" borderId="39" xfId="0" applyFont="1" applyBorder="1" applyNumberFormat="1">
      <alignment horizontal="center" vertical="center" wrapText="1"/>
    </xf>
    <xf numFmtId="165"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14" fontId="23" fillId="43" borderId="14" xfId="0" applyFont="1" applyFill="1" applyBorder="1" applyNumberFormat="1">
      <alignment horizontal="left"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31" xfId="0" applyFont="1" applyFill="1" applyBorder="1" applyNumberFormat="1">
      <alignment horizontal="right" vertical="center" wrapText="1"/>
    </xf>
    <xf numFmtId="0" fontId="117" fillId="0" borderId="0" xfId="0" applyFont="1" applyNumberFormat="1">
      <alignment vertical="center" wrapText="1"/>
    </xf>
    <xf numFmtId="49" fontId="0" fillId="0" borderId="0" xfId="0" applyFont="1" applyNumberFormat="1">
      <alignment vertical="top"/>
    </xf>
    <xf numFmtId="0" fontId="55" fillId="0" borderId="0" xfId="0" applyFont="1" applyNumberFormat="1">
      <alignment vertical="center"/>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38" borderId="14" xfId="0" applyFont="1" applyFill="1" applyBorder="1" applyNumberFormat="1">
      <alignment horizontal="left" vertical="center" wrapText="1" indent="1"/>
    </xf>
    <xf numFmtId="167" fontId="0" fillId="42" borderId="17" xfId="0" applyFont="1" applyFill="1" applyBorder="1" applyNumberFormat="1">
      <alignment horizontal="left" vertical="center" wrapText="1" indent="1"/>
      <protection locked="0"/>
    </xf>
    <xf numFmtId="168" fontId="23" fillId="42" borderId="14" xfId="0" applyFont="1" applyFill="1" applyBorder="1" applyNumberFormat="1">
      <alignment horizontal="left" vertical="center" wrapText="1" indent="1"/>
      <protection locked="0"/>
    </xf>
    <xf numFmtId="167" fontId="55" fillId="0" borderId="0" xfId="0" applyFont="1" applyNumberFormat="1">
      <alignment horizontal="center" vertical="center" wrapText="1"/>
    </xf>
    <xf numFmtId="165" fontId="23" fillId="0" borderId="19"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 fontId="23" fillId="0" borderId="38"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25"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25" xfId="0" applyFont="1" applyFill="1" applyBorder="1" applyNumberFormat="1">
      <alignment horizontal="left" vertical="center" wrapText="1" indent="1"/>
    </xf>
    <xf numFmtId="14" fontId="23" fillId="42" borderId="25" xfId="0" applyFont="1" applyFill="1" applyBorder="1" applyNumberFormat="1">
      <alignment horizontal="left" vertical="center" wrapText="1" indent="1"/>
      <protection locked="0"/>
    </xf>
    <xf numFmtId="0" fontId="23" fillId="0" borderId="31" xfId="0" applyFont="1" applyBorder="1" applyNumberFormat="1">
      <alignment horizontal="left" vertical="top" wrapText="1"/>
    </xf>
    <xf numFmtId="49" fontId="0" fillId="0" borderId="0" xfId="0" applyFont="1" applyNumberFormat="1">
      <alignment vertical="top"/>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5" fontId="23" fillId="0" borderId="25" xfId="0" applyFont="1" applyBorder="1" applyNumberFormat="1">
      <alignment horizontal="center" vertical="center" wrapText="1"/>
    </xf>
    <xf numFmtId="0" fontId="23" fillId="0" borderId="25" xfId="0" applyFont="1" applyBorder="1" applyNumberFormat="1">
      <alignment horizontal="left" vertical="center" wrapText="1" indent="1"/>
    </xf>
    <xf numFmtId="14" fontId="23" fillId="0" borderId="25" xfId="0" applyFont="1" applyBorder="1" applyNumberFormat="1">
      <alignment horizontal="left" vertical="center" wrapText="1" indent="1"/>
    </xf>
    <xf numFmtId="0" fontId="45" fillId="0" borderId="0" xfId="0" applyFont="1" applyNumberFormat="1">
      <alignment horizontal="center" vertical="center" wrapText="1"/>
    </xf>
    <xf numFmtId="0" fontId="55" fillId="0" borderId="0" xfId="0" applyFont="1" applyNumberFormat="1">
      <alignment vertical="center"/>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34" fillId="40" borderId="29" xfId="0" applyFont="1" applyFill="1" applyBorder="1" applyNumberFormat="1">
      <alignment horizontal="left" vertical="center" wrapText="1"/>
    </xf>
    <xf numFmtId="49" fontId="34" fillId="40" borderId="31" xfId="0" applyFont="1" applyFill="1" applyBorder="1" applyNumberFormat="1">
      <alignment horizontal="left" vertical="center" wrapText="1"/>
    </xf>
    <xf numFmtId="0" fontId="23" fillId="37" borderId="38" xfId="0" applyFont="1" applyFill="1" applyBorder="1" applyNumberFormat="1">
      <alignment vertical="center" wrapText="1"/>
    </xf>
    <xf numFmtId="0" fontId="55" fillId="0" borderId="0" xfId="0" applyFont="1" applyNumberFormat="1">
      <alignment horizontal="center"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14"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7" xfId="0" applyFont="1" applyBorder="1" applyNumberFormat="1">
      <alignment horizontal="left" vertical="center" wrapText="1"/>
    </xf>
    <xf numFmtId="0" fontId="50" fillId="0" borderId="0" xfId="0" applyFont="1" applyNumberFormat="1">
      <alignment horizontal="center" vertical="center" wrapText="1"/>
    </xf>
    <xf numFmtId="0" fontId="23" fillId="0" borderId="0" xfId="0" applyFont="1" applyNumberFormat="1">
      <alignment horizontal="center" vertical="center" wrapText="1"/>
    </xf>
    <xf numFmtId="165" fontId="53" fillId="0" borderId="21" xfId="0" applyFont="1" applyBorder="1" applyNumberFormat="1">
      <alignment horizontal="center"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0" fontId="55" fillId="0" borderId="0" xfId="0" applyFont="1" applyNumberFormat="1">
      <alignment horizontal="center" vertical="center"/>
    </xf>
    <xf numFmtId="165" fontId="23" fillId="0" borderId="14" xfId="0" applyFont="1" applyBorder="1" applyNumberFormat="1">
      <alignment horizontal="center"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43" borderId="32" xfId="0" applyFont="1" applyFill="1" applyBorder="1" applyNumberFormat="1">
      <alignment horizontal="left" vertical="center" wrapText="1"/>
    </xf>
    <xf numFmtId="0" fontId="23" fillId="0" borderId="25" xfId="0" applyFont="1" applyBorder="1" applyNumberFormat="1">
      <alignment horizontal="center" vertical="center" wrapText="1"/>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23" fillId="0" borderId="14" xfId="0" applyFont="1" applyBorder="1" applyNumberFormat="1">
      <alignment horizontal="left" vertical="top" wrapText="1"/>
    </xf>
    <xf numFmtId="49" fontId="23" fillId="43" borderId="25" xfId="0" applyFont="1" applyFill="1" applyBorder="1" applyNumberFormat="1">
      <alignment horizontal="left" vertical="center" wrapText="1"/>
    </xf>
    <xf numFmtId="49" fontId="129" fillId="0" borderId="14" xfId="0" applyFont="1" applyBorder="1" applyNumberFormat="1">
      <alignment horizontal="left" vertical="top"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37" borderId="0" xfId="0" applyFont="1" applyFill="1" applyNumberFormat="1"/>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0" fontId="51" fillId="37" borderId="0" xfId="0" applyFont="1" applyFill="1" applyNumberFormat="1">
      <alignment horizontal="center" vertical="center" wrapText="1"/>
    </xf>
    <xf numFmtId="0" fontId="40" fillId="37" borderId="0" xfId="0" applyFont="1" applyFill="1" applyNumberFormat="1"/>
    <xf numFmtId="0" fontId="23" fillId="37" borderId="14" xfId="0" applyFont="1" applyFill="1" applyBorder="1" applyNumberFormat="1">
      <alignment horizontal="center" vertical="center" wrapTex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8" fillId="40" borderId="17" xfId="0" applyFont="1" applyFill="1" applyBorder="1" applyNumberFormat="1">
      <alignment horizontal="left" vertical="center"/>
    </xf>
    <xf numFmtId="49" fontId="52" fillId="40" borderId="17"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5" fillId="0" borderId="0" xfId="0" applyFont="1" applyNumberFormat="1">
      <alignment horizontal="center" vertical="center"/>
    </xf>
    <xf numFmtId="49" fontId="23" fillId="0" borderId="0" xfId="0" applyFont="1" applyNumberFormat="1">
      <alignment vertical="top"/>
    </xf>
    <xf numFmtId="0" fontId="45" fillId="37" borderId="0" xfId="0" applyFont="1" applyFill="1" applyNumberFormat="1">
      <alignment horizontal="center" vertical="center"/>
    </xf>
    <xf numFmtId="0" fontId="23" fillId="37" borderId="0" xfId="0" applyFont="1" applyFill="1" applyNumberFormat="1"/>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0" fontId="69" fillId="0" borderId="0" xfId="0" applyFont="1" applyNumberFormat="1"/>
    <xf numFmtId="0" fontId="23" fillId="0" borderId="14" xfId="0" applyFont="1" applyBorder="1" applyNumberFormat="1">
      <alignment horizontal="center" vertical="center" wrapText="1"/>
    </xf>
    <xf numFmtId="0" fontId="23" fillId="37" borderId="19" xfId="0" applyFont="1" applyFill="1" applyBorder="1" applyNumberFormat="1">
      <alignment horizontal="center" vertical="center"/>
    </xf>
    <xf numFmtId="49" fontId="23" fillId="0" borderId="19" xfId="0" applyFont="1" applyBorder="1" applyNumberFormat="1">
      <alignment horizontal="left"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49" fontId="53" fillId="0" borderId="0" xfId="0" applyFont="1" applyNumberFormat="1">
      <alignment horizontal="right" vertical="top"/>
    </xf>
    <xf numFmtId="49" fontId="23" fillId="0" borderId="0" xfId="0" applyFont="1" applyNumberFormat="1">
      <alignment horizontal="left" vertical="top" wrapText="1"/>
    </xf>
    <xf numFmtId="49" fontId="53" fillId="0" borderId="0" xfId="0" applyFont="1" applyNumberFormat="1">
      <alignment vertical="top"/>
    </xf>
    <xf numFmtId="0" fontId="23" fillId="0" borderId="0" xfId="0" applyFont="1" applyNumberFormat="1"/>
    <xf numFmtId="0" fontId="45" fillId="0" borderId="0" xfId="0" applyFont="1" applyNumberFormat="1">
      <alignment horizontal="center" vertical="center"/>
    </xf>
    <xf numFmtId="0" fontId="23" fillId="0" borderId="0" xfId="0" applyFont="1" applyNumberFormat="1"/>
    <xf numFmtId="49" fontId="23" fillId="0" borderId="14" xfId="0" applyFont="1" applyBorder="1" applyNumberFormat="1">
      <alignment horizontal="left" vertical="center" wrapText="1"/>
    </xf>
    <xf numFmtId="49" fontId="48" fillId="40" borderId="15" xfId="0" applyFont="1" applyFill="1" applyBorder="1" applyNumberFormat="1">
      <alignment horizontal="left" vertical="center"/>
    </xf>
    <xf numFmtId="49" fontId="0" fillId="0" borderId="17" xfId="0" applyFont="1" applyBorder="1" applyNumberFormat="1">
      <alignment horizontal="left" vertical="center" indent="1"/>
    </xf>
    <xf numFmtId="49" fontId="70" fillId="0" borderId="0" xfId="0" applyFont="1" applyNumberFormat="1">
      <alignment vertical="top"/>
    </xf>
    <xf numFmtId="49" fontId="0" fillId="0" borderId="27" xfId="0" applyFont="1" applyBorder="1" applyNumberFormat="1">
      <alignment horizontal="center" vertical="center"/>
    </xf>
    <xf numFmtId="49" fontId="0" fillId="0" borderId="0" xfId="0" applyFont="1" applyNumberFormat="1">
      <alignment vertical="top"/>
    </xf>
    <xf numFmtId="49" fontId="0" fillId="41" borderId="0" xfId="0" applyFont="1" applyFill="1" applyNumberFormat="1">
      <alignment vertical="top"/>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49" fontId="23" fillId="39" borderId="14" xfId="0" applyFont="1" applyFill="1" applyBorder="1" applyNumberFormat="1">
      <alignment horizontal="left" vertical="center" wrapText="1"/>
      <protection locked="0"/>
    </xf>
    <xf numFmtId="0" fontId="50" fillId="0" borderId="0" xfId="0" applyFont="1" applyNumberFormat="1">
      <alignment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14" fontId="23" fillId="43" borderId="14" xfId="0" applyFont="1" applyFill="1" applyBorder="1" applyNumberFormat="1">
      <alignment horizontal="left" vertical="center" wrapText="1" indent="1"/>
    </xf>
    <xf numFmtId="49" fontId="23" fillId="38" borderId="14" xfId="0" applyFont="1" applyFill="1" applyBorder="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0" fillId="0" borderId="0" xfId="0" applyFont="1" applyNumberFormat="1">
      <alignment vertical="center"/>
    </xf>
    <xf numFmtId="0" fontId="44" fillId="0" borderId="26" xfId="0" applyFont="1" applyBorder="1" applyNumberFormat="1">
      <alignment horizontal="center" vertical="center" wrapText="1"/>
    </xf>
    <xf numFmtId="14" fontId="86" fillId="0" borderId="19" xfId="0" applyFont="1" applyBorder="1" applyNumberFormat="1">
      <alignment horizontal="center" vertical="center" wrapText="1"/>
    </xf>
    <xf numFmtId="0" fontId="80" fillId="0" borderId="14" xfId="0" applyFont="1" applyBorder="1" applyNumberFormat="1">
      <alignment horizontal="left" vertical="center" wrapText="1" indent="1"/>
    </xf>
    <xf numFmtId="0" fontId="86"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0" fontId="79" fillId="0" borderId="0" xfId="0" applyFont="1" applyNumberFormat="1">
      <alignment vertical="center"/>
    </xf>
    <xf numFmtId="14" fontId="86" fillId="0" borderId="38" xfId="0" applyFont="1" applyBorder="1" applyNumberFormat="1">
      <alignment horizontal="center" vertical="center" wrapText="1"/>
    </xf>
    <xf numFmtId="0" fontId="80" fillId="0" borderId="14" xfId="0" applyFont="1" applyBorder="1" applyNumberFormat="1">
      <alignment horizontal="left" vertical="top" indent="1"/>
    </xf>
    <xf numFmtId="49" fontId="0" fillId="0" borderId="14" xfId="0" applyFont="1" applyBorder="1" applyNumberFormat="1">
      <alignment vertical="top"/>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44" fillId="0" borderId="14" xfId="0" applyFont="1" applyBorder="1" applyNumberFormat="1">
      <alignment horizontal="center" vertical="center" wrapText="1"/>
    </xf>
    <xf numFmtId="49" fontId="23" fillId="0" borderId="15"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3" borderId="16" xfId="0" applyFont="1" applyFill="1" applyBorder="1" applyNumberFormat="1">
      <alignment horizontal="left" vertical="center" wrapText="1"/>
    </xf>
    <xf numFmtId="49" fontId="0" fillId="0" borderId="14" xfId="0" applyFont="1" applyBorder="1" applyNumberFormat="1">
      <alignment vertical="top"/>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0" fillId="0" borderId="0" xfId="0" applyFont="1" applyNumberFormat="1">
      <alignment vertical="top"/>
    </xf>
    <xf numFmtId="49" fontId="23" fillId="0" borderId="0" xfId="0" applyFont="1" applyNumberFormat="1">
      <alignment vertical="top"/>
    </xf>
    <xf numFmtId="0" fontId="45" fillId="37" borderId="0" xfId="0" applyFont="1" applyFill="1" applyNumberFormat="1">
      <alignment vertical="top" wrapText="1"/>
    </xf>
    <xf numFmtId="0" fontId="23" fillId="37" borderId="16" xfId="0" applyFont="1" applyFill="1" applyBorder="1" applyNumberFormat="1">
      <alignment horizontal="center" vertical="center" wrapText="1"/>
    </xf>
    <xf numFmtId="0" fontId="55" fillId="37" borderId="14" xfId="0" applyFont="1" applyFill="1" applyBorder="1" applyNumberFormat="1">
      <alignment horizontal="center" vertical="center" wrapText="1"/>
    </xf>
    <xf numFmtId="14" fontId="23" fillId="43" borderId="31" xfId="0" applyFont="1" applyFill="1" applyBorder="1" applyNumberFormat="1">
      <alignment horizontal="left" vertical="center" wrapText="1"/>
    </xf>
    <xf numFmtId="49" fontId="127" fillId="42" borderId="14" xfId="0" applyFont="1" applyFill="1" applyBorder="1" applyNumberFormat="1">
      <alignment horizontal="left" vertical="center" wrapText="1"/>
      <protection locked="0"/>
    </xf>
    <xf numFmtId="49" fontId="0" fillId="0" borderId="14" xfId="0" applyFont="1" applyBorder="1" applyNumberFormat="1">
      <alignment horizontal="center" vertical="center" wrapText="1"/>
    </xf>
    <xf numFmtId="0" fontId="23" fillId="43" borderId="16" xfId="0" applyFont="1" applyFill="1" applyBorder="1" applyNumberFormat="1">
      <alignment horizontal="left" vertical="center" wrapText="1"/>
    </xf>
    <xf numFmtId="0" fontId="0" fillId="0" borderId="25" xfId="0" applyFont="1" applyBorder="1" applyNumberFormat="1">
      <alignment horizontal="center" vertical="center" wrapText="1"/>
    </xf>
    <xf numFmtId="49" fontId="23" fillId="0" borderId="0" xfId="0" applyFont="1" applyNumberFormat="1">
      <alignment vertical="top"/>
    </xf>
    <xf numFmtId="49" fontId="4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49"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45" fillId="0" borderId="26" xfId="0" applyFont="1" applyBorder="1" applyNumberFormat="1">
      <alignment horizontal="center" vertical="center" wrapTex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2" borderId="14" xfId="0" applyFont="1" applyFill="1" applyBorder="1" applyNumberFormat="1">
      <alignment horizontal="left" vertical="top" wrapText="1"/>
      <protection locked="0"/>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0" fontId="23" fillId="39" borderId="14" xfId="0" applyFont="1" applyFill="1" applyBorder="1" applyNumberFormat="1">
      <alignment horizontal="left" vertical="top" wrapText="1"/>
      <protection locked="0"/>
    </xf>
    <xf numFmtId="49" fontId="23" fillId="43" borderId="14" xfId="0" applyFont="1" applyFill="1" applyBorder="1" applyNumberFormat="1">
      <alignment horizontal="center" vertical="top" wrapText="1"/>
    </xf>
    <xf numFmtId="0" fontId="23" fillId="0" borderId="38" xfId="0" applyFont="1" applyBorder="1" applyNumberFormat="1">
      <alignment horizontal="center" vertical="center" wrapText="1"/>
    </xf>
    <xf numFmtId="0" fontId="23"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1"/>
      <protection locked="0"/>
    </xf>
    <xf numFmtId="0" fontId="23" fillId="0" borderId="26" xfId="0" applyFont="1" applyBorder="1" applyNumberFormat="1">
      <alignment vertical="top" wrapText="1"/>
    </xf>
    <xf numFmtId="49" fontId="23" fillId="43" borderId="25" xfId="0" applyFont="1" applyFill="1" applyBorder="1" applyNumberFormat="1">
      <alignment horizontal="center" vertical="top" wrapText="1"/>
    </xf>
    <xf numFmtId="49" fontId="0" fillId="42"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6" xfId="0" applyFont="1" applyFill="1" applyBorder="1" applyNumberFormat="1">
      <alignment horizontal="center" vertical="top" wrapText="1"/>
    </xf>
    <xf numFmtId="49" fontId="23" fillId="0" borderId="38" xfId="0" applyFont="1" applyBorder="1" applyNumberFormat="1">
      <alignment horizontal="center" vertical="top" wrapText="1"/>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0" borderId="40" xfId="0" applyFont="1" applyBorder="1" applyNumberFormat="1">
      <alignment vertical="center" wrapText="1"/>
    </xf>
    <xf numFmtId="49" fontId="23" fillId="38" borderId="14" xfId="0" applyFont="1" applyFill="1" applyBorder="1" applyNumberFormat="1">
      <alignment horizontal="center" vertical="center" wrapText="1"/>
    </xf>
    <xf numFmtId="49" fontId="23" fillId="0" borderId="15" xfId="0" applyFont="1" applyBorder="1" applyNumberFormat="1">
      <alignment horizontal="center" vertical="center" wrapText="1"/>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23" fillId="43" borderId="16" xfId="0" applyFont="1" applyFill="1" applyBorder="1" applyNumberFormat="1">
      <alignment horizontal="center" vertical="center" wrapText="1"/>
    </xf>
    <xf numFmtId="49" fontId="110" fillId="40" borderId="45" xfId="0" applyFont="1" applyFill="1" applyBorder="1" applyNumberFormat="1">
      <alignment horizontal="left" vertical="center" indent="1"/>
    </xf>
    <xf numFmtId="49" fontId="99" fillId="40" borderId="45" xfId="0" applyFont="1" applyFill="1" applyBorder="1" applyNumberFormat="1">
      <alignment horizontal="center" vertical="center"/>
    </xf>
    <xf numFmtId="3" fontId="23" fillId="42" borderId="14" xfId="0" applyFont="1" applyFill="1" applyBorder="1" applyNumberFormat="1">
      <alignment horizontal="center" vertical="center" wrapText="1"/>
      <protection locked="0"/>
    </xf>
    <xf numFmtId="49" fontId="128" fillId="0" borderId="15" xfId="0" applyFont="1" applyBorder="1" applyNumberFormat="1">
      <alignment horizontal="center" vertical="center" wrapText="1"/>
    </xf>
    <xf numFmtId="0" fontId="53" fillId="0" borderId="14" xfId="0" applyFont="1" applyBorder="1" applyNumberFormat="1">
      <alignment horizontal="center" vertical="center"/>
    </xf>
    <xf numFmtId="49" fontId="23" fillId="43" borderId="19"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23" fillId="43" borderId="38" xfId="0" applyFont="1" applyFill="1" applyBorder="1" applyNumberFormat="1">
      <alignment horizontal="left" vertical="center" wrapText="1" indent="1"/>
    </xf>
    <xf numFmtId="49" fontId="23" fillId="38" borderId="14" xfId="0" applyFont="1" applyFill="1" applyBorder="1" applyNumberFormat="1">
      <alignment horizontal="left" vertical="center" wrapText="1"/>
    </xf>
    <xf numFmtId="49" fontId="128" fillId="0" borderId="0" xfId="0" applyFont="1" applyNumberFormat="1">
      <alignment horizontal="center" vertical="top" wrapText="1"/>
    </xf>
    <xf numFmtId="0" fontId="53" fillId="0" borderId="14" xfId="0" applyFont="1" applyBorder="1" applyNumberFormat="1">
      <alignment horizontal="center" vertical="center"/>
    </xf>
    <xf numFmtId="0" fontId="53" fillId="43" borderId="14" xfId="0" applyFont="1" applyFill="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43" borderId="25" xfId="0" applyFont="1" applyFill="1" applyBorder="1" applyNumberFormat="1">
      <alignment horizontal="left" vertical="center" wrapText="1" indent="1"/>
    </xf>
    <xf numFmtId="49" fontId="48" fillId="40" borderId="17" xfId="0" applyFont="1" applyFill="1" applyBorder="1" applyNumberFormat="1">
      <alignment horizontal="left" vertical="center" inden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49" fontId="23" fillId="38" borderId="77" xfId="0" applyFont="1" applyFill="1" applyBorder="1" applyNumberFormat="1">
      <alignment horizontal="center" vertical="center" wrapText="1"/>
    </xf>
    <xf numFmtId="0" fontId="0" fillId="40" borderId="52" xfId="0" applyFont="1" applyFill="1" applyBorder="1" applyNumberFormat="1">
      <alignment horizontal="left" vertical="center"/>
    </xf>
    <xf numFmtId="49" fontId="48" fillId="40" borderId="53" xfId="0" applyFont="1" applyFill="1" applyBorder="1" applyNumberFormat="1">
      <alignment horizontal="left" vertical="center" inden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0" fontId="23" fillId="40" borderId="55" xfId="0" applyFont="1" applyFill="1" applyBorder="1" applyNumberFormat="1">
      <alignment vertical="center" wrapText="1"/>
    </xf>
    <xf numFmtId="49" fontId="0" fillId="38" borderId="38" xfId="0" applyFont="1" applyFill="1" applyBorder="1" applyNumberFormat="1">
      <alignment vertical="top"/>
    </xf>
    <xf numFmtId="49" fontId="23" fillId="43" borderId="19" xfId="0" applyFont="1" applyFill="1" applyBorder="1" applyNumberFormat="1">
      <alignment vertical="center" wrapText="1"/>
    </xf>
    <xf numFmtId="49" fontId="0" fillId="42" borderId="38" xfId="0" applyFont="1" applyFill="1" applyBorder="1" applyNumberFormat="1">
      <alignment vertical="top"/>
      <protection locked="0"/>
    </xf>
    <xf numFmtId="49" fontId="128" fillId="0" borderId="14" xfId="0" applyFont="1" applyBorder="1" applyNumberFormat="1">
      <alignment horizontal="center" vertical="center" wrapText="1"/>
    </xf>
    <xf numFmtId="49" fontId="0" fillId="42" borderId="19" xfId="0" applyFont="1" applyFill="1" applyBorder="1" applyNumberFormat="1">
      <alignment vertical="top"/>
      <protection locked="0"/>
    </xf>
    <xf numFmtId="14" fontId="23" fillId="43" borderId="38" xfId="0" applyFont="1" applyFill="1" applyBorder="1" applyNumberFormat="1">
      <alignment horizontal="left" vertical="center" wrapText="1" inden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0" fontId="53" fillId="0" borderId="15" xfId="0" applyFont="1" applyBorder="1" applyNumberFormat="1">
      <alignment horizontal="center" vertical="center"/>
    </xf>
    <xf numFmtId="0" fontId="108" fillId="0" borderId="49" xfId="0" applyFont="1" applyBorder="1" applyNumberFormat="1">
      <alignment horizontal="left" vertical="center" indent="1"/>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49" fontId="0" fillId="0" borderId="0" xfId="0" applyFont="1" applyNumberFormat="1">
      <alignment vertical="top"/>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39" borderId="14" xfId="0" applyFont="1" applyFill="1" applyBorder="1" applyNumberFormat="1">
      <alignment horizontal="left" vertical="center"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48" fillId="0" borderId="14" xfId="0" applyFont="1" applyBorder="1" applyNumberFormat="1">
      <alignment horizontal="left" vertical="center" indent="1"/>
    </xf>
    <xf numFmtId="0" fontId="54" fillId="0" borderId="0" xfId="0" applyFont="1" applyNumberFormat="1">
      <alignment horizontal="center" vertical="top"/>
    </xf>
    <xf numFmtId="49" fontId="23" fillId="0" borderId="25" xfId="0" applyFont="1" applyBorder="1" applyNumberFormat="1">
      <alignment horizontal="center" vertical="center" wrapText="1"/>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49" fontId="55" fillId="0" borderId="15" xfId="0" applyFont="1" applyBorder="1" applyNumberFormat="1">
      <alignment horizontal="left" vertical="center" indent="1"/>
    </xf>
    <xf numFmtId="0" fontId="55" fillId="0" borderId="14" xfId="0" applyFont="1" applyBorder="1" applyNumberFormat="1">
      <alignment horizontal="left" vertical="center" indent="1"/>
    </xf>
    <xf numFmtId="49" fontId="0" fillId="0" borderId="21" xfId="0" applyFont="1" applyBorder="1" applyNumberFormat="1">
      <alignment vertical="top"/>
    </xf>
    <xf numFmtId="49" fontId="45" fillId="0" borderId="19"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0" fillId="0" borderId="15" xfId="0" applyFont="1" applyBorder="1" applyNumberFormat="1">
      <alignment horizontal="center" vertical="center" wrapText="1"/>
    </xf>
    <xf numFmtId="0" fontId="0" fillId="0" borderId="14" xfId="0" applyFont="1" applyBorder="1" applyNumberFormat="1">
      <alignment horizontal="left" vertical="center" wrapText="1"/>
    </xf>
    <xf numFmtId="49" fontId="0" fillId="0" borderId="14" xfId="0" applyFont="1" applyBorder="1" applyNumberFormat="1">
      <alignment horizontal="center" vertical="center"/>
    </xf>
    <xf numFmtId="0" fontId="0" fillId="0" borderId="14" xfId="0" applyFont="1" applyBorder="1" applyNumberFormat="1">
      <alignment horizontal="center" vertical="center" wrapText="1"/>
    </xf>
    <xf numFmtId="4" fontId="0" fillId="38" borderId="14" xfId="0" applyFont="1" applyFill="1" applyBorder="1" applyNumberFormat="1">
      <alignment horizontal="right" vertical="center" wrapText="1"/>
    </xf>
    <xf numFmtId="49" fontId="23" fillId="0" borderId="38" xfId="0" applyFont="1" applyBorder="1" applyNumberFormat="1">
      <alignment horizontal="center" vertical="top"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2" borderId="14" xfId="0" applyFont="1" applyFill="1" applyBorder="1" applyNumberFormat="1">
      <alignment horizontal="left" vertical="center" wrapText="1"/>
      <protection locked="0"/>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23" fillId="0" borderId="25" xfId="0" applyFont="1" applyBorder="1" applyNumberFormat="1">
      <alignment horizontal="center" vertical="top" wrapText="1"/>
    </xf>
    <xf numFmtId="49" fontId="23" fillId="42" borderId="14" xfId="0" applyFont="1" applyFill="1" applyBorder="1" applyNumberFormat="1">
      <alignment horizontal="left" vertical="center" wrapText="1" indent="1"/>
      <protection locked="0"/>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0" fontId="23" fillId="43" borderId="14" xfId="0" applyFont="1" applyFill="1" applyBorder="1" applyNumberFormat="1">
      <alignment horizontal="left" vertical="top" wrapText="1"/>
    </xf>
    <xf numFmtId="49" fontId="23"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49" fontId="0" fillId="0" borderId="14" xfId="0" applyFont="1" applyBorder="1" applyNumberFormat="1">
      <alignment horizontal="left" vertical="top"/>
    </xf>
    <xf numFmtId="49" fontId="0" fillId="43" borderId="14"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23" fillId="43" borderId="0" xfId="0" applyFont="1" applyFill="1" applyNumberFormat="1">
      <alignment horizontal="center" vertical="center" wrapText="1"/>
    </xf>
    <xf numFmtId="0" fontId="48" fillId="0" borderId="38" xfId="0" applyFont="1" applyBorder="1" applyNumberFormat="1">
      <alignment horizontal="left" vertical="center"/>
    </xf>
    <xf numFmtId="49" fontId="0" fillId="43" borderId="38" xfId="0" applyFont="1" applyFill="1" applyBorder="1" applyNumberFormat="1">
      <alignment horizontal="left" vertical="center" wrapText="1"/>
      <protection locked="0"/>
    </xf>
    <xf numFmtId="49" fontId="23" fillId="43" borderId="38" xfId="0" applyFont="1" applyFill="1" applyBorder="1" applyNumberFormat="1">
      <alignment horizontal="center" vertical="center" wrapText="1"/>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49" fontId="0" fillId="0" borderId="0" xfId="0" applyFont="1" applyNumberFormat="1">
      <alignment vertical="top"/>
    </xf>
    <xf numFmtId="0" fontId="0" fillId="0" borderId="0" xfId="0" applyFont="1" applyNumberFormat="1">
      <alignment vertical="center"/>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0" fillId="0" borderId="24"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9" xfId="0" applyFont="1" applyBorder="1" applyNumberFormat="1">
      <alignment vertical="center"/>
    </xf>
    <xf numFmtId="49" fontId="23" fillId="0" borderId="38" xfId="0" applyFont="1" applyBorder="1" applyNumberFormat="1">
      <alignment horizontal="center" vertical="center"/>
    </xf>
    <xf numFmtId="49" fontId="23" fillId="0" borderId="38" xfId="0" applyFont="1" applyBorder="1" applyNumberFormat="1">
      <alignment vertical="center" wrapText="1"/>
    </xf>
    <xf numFmtId="0" fontId="23" fillId="0" borderId="26" xfId="0" applyFont="1" applyBorder="1" applyNumberFormat="1">
      <alignment horizontal="center" vertical="center"/>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45" fillId="0" borderId="38" xfId="0" applyFont="1" applyBorder="1" applyNumberFormat="1">
      <alignment vertical="center" wrapText="1"/>
    </xf>
    <xf numFmtId="0" fontId="23" fillId="43" borderId="19" xfId="0" applyFont="1" applyFill="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horizontal="left" vertical="center" wrapText="1"/>
    </xf>
    <xf numFmtId="0"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vertical="center" wrapText="1"/>
    </xf>
    <xf numFmtId="0" fontId="23" fillId="0" borderId="38" xfId="0" applyFont="1" applyBorder="1" applyNumberFormat="1">
      <alignment horizontal="left" vertical="center" wrapText="1"/>
    </xf>
    <xf numFmtId="49" fontId="23" fillId="0" borderId="38" xfId="0" applyFont="1" applyBorder="1" applyNumberFormat="1">
      <alignment horizontal="left" vertical="center" wrapText="1"/>
    </xf>
    <xf numFmtId="0" fontId="23" fillId="43" borderId="38" xfId="0" applyFont="1" applyFill="1" applyBorder="1" applyNumberFormat="1">
      <alignment horizontal="left" vertical="center" wrapText="1"/>
    </xf>
    <xf numFmtId="49" fontId="23" fillId="0" borderId="38" xfId="0" applyFont="1" applyBorder="1" applyNumberFormat="1">
      <alignment horizontal="center"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23" fillId="0" borderId="38" xfId="0" applyFont="1" applyBorder="1" applyNumberFormat="1">
      <alignment horizontal="center" vertical="center" wrapText="1"/>
    </xf>
    <xf numFmtId="0" fontId="48" fillId="40" borderId="39"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45" fillId="0" borderId="38" xfId="0" applyFont="1" applyBorder="1" applyNumberFormat="1">
      <alignment horizontal="center" vertical="center" wrapText="1"/>
    </xf>
    <xf numFmtId="0" fontId="48" fillId="40" borderId="39" xfId="0" applyFont="1" applyFill="1" applyBorder="1" applyNumberFormat="1">
      <alignment vertical="center"/>
    </xf>
    <xf numFmtId="0" fontId="48" fillId="0" borderId="38" xfId="0" applyFont="1" applyBorder="1" applyNumberFormat="1">
      <alignment horizontal="left" vertical="center"/>
    </xf>
    <xf numFmtId="49" fontId="23" fillId="39" borderId="19" xfId="0" applyFont="1" applyFill="1" applyBorder="1" applyNumberFormat="1">
      <alignment horizontal="left" vertical="center" wrapText="1"/>
      <protection locked="0"/>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0" borderId="21" xfId="0" applyFont="1" applyBorder="1" applyNumberFormat="1">
      <alignment horizontal="lef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49" fontId="100" fillId="0" borderId="14" xfId="0" applyFont="1" applyBorder="1" applyNumberFormat="1">
      <alignment vertical="top" wrapText="1"/>
    </xf>
    <xf numFmtId="49" fontId="96" fillId="0" borderId="14" xfId="0" applyFont="1" applyBorder="1" applyNumberFormat="1">
      <alignment horizontal="center" vertical="top" wrapText="1"/>
    </xf>
    <xf numFmtId="49" fontId="96" fillId="34" borderId="14" xfId="0" applyFont="1" applyFill="1" applyBorder="1" applyNumberFormat="1">
      <alignment horizontal="center" vertical="top"/>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0" fontId="100" fillId="0" borderId="14" xfId="0" applyFont="1" applyBorder="1" applyNumberFormat="1">
      <alignment vertical="top" wrapText="1"/>
    </xf>
    <xf numFmtId="49" fontId="100" fillId="0" borderId="0" xfId="0" applyFont="1" applyNumberFormat="1">
      <alignment vertical="top" wrapText="1"/>
    </xf>
    <xf numFmtId="49" fontId="100" fillId="0" borderId="0" xfId="0" applyFont="1" applyNumberFormat="1">
      <alignment vertical="top"/>
    </xf>
    <xf numFmtId="49" fontId="100" fillId="0" borderId="0" xfId="0" applyFont="1" applyNumberFormat="1">
      <alignment horizontal="center" vertical="top" wrapText="1"/>
    </xf>
    <xf numFmtId="49" fontId="100" fillId="0" borderId="14" xfId="0" applyFont="1" applyBorder="1" applyNumberFormat="1">
      <alignment horizontal="center" vertical="top" wrapText="1"/>
    </xf>
    <xf numFmtId="49" fontId="100" fillId="0" borderId="14" xfId="0" applyFont="1" applyBorder="1" applyNumberFormat="1">
      <alignment horizontal="center" vertical="top" wrapText="1"/>
    </xf>
    <xf numFmtId="49" fontId="100" fillId="34" borderId="14" xfId="0" applyFont="1" applyFill="1" applyBorder="1" applyNumberFormat="1">
      <alignment horizontal="center" vertical="top" wrapText="1"/>
    </xf>
    <xf numFmtId="49" fontId="96" fillId="34" borderId="14" xfId="0" applyFont="1" applyFill="1" applyBorder="1" applyNumberFormat="1">
      <alignment horizontal="center" vertical="top" wrapText="1"/>
    </xf>
    <xf numFmtId="49" fontId="100" fillId="0" borderId="14" xfId="0" applyFont="1" applyBorder="1" applyNumberFormat="1">
      <alignment horizontal="left" vertical="top" wrapText="1"/>
    </xf>
    <xf numFmtId="0" fontId="96" fillId="34" borderId="14" xfId="0" applyFont="1" applyFill="1" applyBorder="1" applyNumberFormat="1">
      <alignment horizontal="center" vertical="top" wrapText="1"/>
    </xf>
    <xf numFmtId="0" fontId="100" fillId="34" borderId="14" xfId="0" applyFont="1" applyFill="1" applyBorder="1" applyNumberFormat="1">
      <alignment horizontal="right" vertical="center"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0" fontId="100" fillId="0" borderId="14" xfId="0" applyFont="1" applyBorder="1" applyNumberFormat="1">
      <alignment horizontal="left" vertical="top" wrapText="1"/>
    </xf>
    <xf numFmtId="49" fontId="100" fillId="34" borderId="14" xfId="0" applyFont="1" applyFill="1" applyBorder="1" applyNumberFormat="1">
      <alignment horizontal="left" vertical="top" wrapText="1"/>
    </xf>
    <xf numFmtId="0" fontId="100" fillId="34" borderId="14" xfId="0" applyFont="1" applyFill="1" applyBorder="1" applyNumberFormat="1">
      <alignment horizontal="center" vertical="center" wrapText="1"/>
    </xf>
    <xf numFmtId="0" fontId="100" fillId="34" borderId="14" xfId="0" applyFont="1" applyFill="1" applyBorder="1" applyNumberFormat="1">
      <alignment horizontal="center" vertical="center"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19" xfId="0" applyFont="1" applyBorder="1" applyNumberFormat="1">
      <alignment horizontal="center" vertical="top" wrapText="1"/>
    </xf>
    <xf numFmtId="0" fontId="100" fillId="0" borderId="19" xfId="0" applyFont="1" applyBorder="1" applyNumberFormat="1">
      <alignment horizontal="left" vertical="top" wrapText="1"/>
    </xf>
    <xf numFmtId="49" fontId="100" fillId="0" borderId="39" xfId="0" applyFont="1" applyBorder="1" applyNumberFormat="1">
      <alignment horizontal="center" vertical="top" wrapText="1"/>
    </xf>
    <xf numFmtId="49" fontId="100" fillId="0" borderId="39" xfId="0" applyFont="1" applyBorder="1" applyNumberFormat="1">
      <alignment horizontal="center" vertical="top" wrapText="1"/>
    </xf>
    <xf numFmtId="0" fontId="100" fillId="0" borderId="15" xfId="0" applyFont="1" applyBorder="1" applyNumberFormat="1">
      <alignment horizontal="left" vertical="top" wrapText="1"/>
    </xf>
    <xf numFmtId="49" fontId="100" fillId="0" borderId="25"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24" xfId="0" applyFont="1" applyBorder="1" applyNumberFormat="1">
      <alignment horizontal="center" vertical="top" wrapText="1"/>
    </xf>
    <xf numFmtId="0" fontId="100" fillId="0" borderId="19" xfId="0" applyFont="1" applyBorder="1" applyNumberFormat="1">
      <alignment vertical="top" wrapText="1"/>
    </xf>
    <xf numFmtId="49" fontId="96" fillId="0" borderId="14" xfId="0" applyFont="1" applyBorder="1" applyNumberFormat="1">
      <alignment horizontal="left" vertical="top" wrapText="1"/>
    </xf>
    <xf numFmtId="0" fontId="96" fillId="0" borderId="16" xfId="0" applyFont="1" applyBorder="1" applyNumberFormat="1">
      <alignment horizontal="center" vertical="center" wrapText="1"/>
    </xf>
    <xf numFmtId="0" fontId="96" fillId="0" borderId="16" xfId="0" applyFont="1" applyBorder="1" applyNumberFormat="1">
      <alignment horizontal="center" vertical="center"/>
    </xf>
    <xf numFmtId="49" fontId="96" fillId="0" borderId="14" xfId="0" applyFont="1" applyBorder="1" applyNumberFormat="1">
      <alignment horizontal="center" vertical="center" wrapText="1"/>
    </xf>
    <xf numFmtId="0" fontId="96" fillId="0" borderId="14" xfId="0" applyFont="1" applyBorder="1" applyNumberFormat="1">
      <alignment vertical="center" wrapText="1"/>
    </xf>
    <xf numFmtId="49" fontId="100" fillId="0" borderId="16" xfId="0" applyFont="1" applyBorder="1" applyNumberFormat="1">
      <alignment horizontal="left" vertical="top" wrapText="1"/>
    </xf>
    <xf numFmtId="0" fontId="96" fillId="0" borderId="14" xfId="0" applyFont="1" applyBorder="1" applyNumberFormat="1">
      <alignment horizontal="center"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100" fillId="0" borderId="32" xfId="0" applyFont="1" applyBorder="1" applyNumberFormat="1">
      <alignment horizontal="left" vertical="top" wrapText="1"/>
    </xf>
    <xf numFmtId="49" fontId="100" fillId="0" borderId="15" xfId="0" applyFont="1" applyBorder="1" applyNumberFormat="1">
      <alignment horizontal="left" vertical="top"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38" xfId="0" applyFont="1" applyBorder="1" applyNumberFormat="1">
      <alignment horizontal="left" vertical="top" wrapText="1"/>
    </xf>
    <xf numFmtId="0" fontId="100" fillId="0" borderId="38" xfId="0" applyFont="1" applyBorder="1" applyNumberFormat="1">
      <alignment horizontal="left" vertical="top" wrapText="1"/>
    </xf>
    <xf numFmtId="49" fontId="100" fillId="0" borderId="0" xfId="0" applyFont="1" applyNumberFormat="1">
      <alignment horizontal="left" vertical="top" wrapText="1"/>
    </xf>
    <xf numFmtId="49" fontId="100" fillId="34" borderId="0" xfId="0" applyFont="1" applyFill="1" applyNumberFormat="1">
      <alignment horizontal="left" vertical="top" wrapText="1"/>
    </xf>
    <xf numFmtId="0" fontId="100" fillId="0" borderId="0" xfId="0" applyFont="1" applyNumberFormat="1">
      <alignment vertical="top"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0" fillId="0" borderId="0" xfId="0" applyFont="1" applyNumberFormat="1">
      <alignment horizontal="left" vertical="center"/>
    </xf>
    <xf numFmtId="0" fontId="0" fillId="37" borderId="14" xfId="0" applyFont="1" applyFill="1" applyBorder="1" applyNumberFormat="1">
      <alignment horizontal="right" vertical="center" wrapText="1" indent="1"/>
    </xf>
    <xf numFmtId="0" fontId="0" fillId="0" borderId="16"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indent="6"/>
      <protection locked="0"/>
    </xf>
    <xf numFmtId="167" fontId="0" fillId="42" borderId="14" xfId="0" applyFont="1" applyFill="1" applyBorder="1" applyNumberFormat="1">
      <alignment horizontal="center" vertical="center" wrapText="1"/>
      <protection locked="0"/>
    </xf>
    <xf numFmtId="49" fontId="23" fillId="0" borderId="14" xfId="0" applyFont="1" applyBorder="1" applyNumberFormat="1">
      <alignment horizontal="left" vertical="center" wrapText="1"/>
    </xf>
    <xf numFmtId="49" fontId="106" fillId="40" borderId="16" xfId="0" applyFont="1" applyFill="1" applyBorder="1" applyNumberFormat="1">
      <alignment horizontal="left" vertical="center"/>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54" fillId="0" borderId="0" xfId="0" applyFont="1" applyNumberFormat="1">
      <alignment horizontal="left" vertical="center"/>
    </xf>
    <xf numFmtId="49" fontId="40" fillId="0" borderId="0" xfId="0" applyFont="1" applyNumberFormat="1">
      <alignment vertical="top"/>
    </xf>
    <xf numFmtId="49" fontId="0" fillId="0" borderId="26" xfId="0" applyFont="1" applyBorder="1" applyNumberFormat="1">
      <alignment vertical="top"/>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0" fillId="0" borderId="0" xfId="0" applyFont="1" applyNumberFormat="1">
      <alignment vertical="top"/>
    </xf>
    <xf numFmtId="49" fontId="54" fillId="0" borderId="0" xfId="0" applyFont="1" applyNumberFormat="1">
      <alignment horizontal="left" vertical="center"/>
    </xf>
    <xf numFmtId="49" fontId="54" fillId="0" borderId="0" xfId="0" applyFont="1" applyNumberFormat="1">
      <alignment horizontal="left" vertical="top"/>
    </xf>
    <xf numFmtId="49" fontId="72" fillId="40" borderId="16" xfId="0" applyFont="1" applyFill="1" applyBorder="1" applyNumberFormat="1">
      <alignment horizontal="left" vertical="top"/>
    </xf>
    <xf numFmtId="49" fontId="114" fillId="40" borderId="17" xfId="0" applyFont="1" applyFill="1" applyBorder="1" applyNumberFormat="1">
      <alignment horizontal="left" vertical="center"/>
    </xf>
    <xf numFmtId="49" fontId="55"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4" xfId="0" applyFont="1" applyBorder="1" applyNumberFormat="1">
      <alignment vertical="top"/>
    </xf>
    <xf numFmtId="49" fontId="0" fillId="0" borderId="16" xfId="0" applyFont="1" applyBorder="1" applyNumberFormat="1">
      <alignment vertical="top"/>
    </xf>
    <xf numFmtId="49" fontId="0" fillId="0" borderId="14" xfId="0" applyFont="1" applyBorder="1" applyNumberFormat="1">
      <alignment horizontal="center" vertical="top"/>
    </xf>
    <xf numFmtId="49" fontId="0" fillId="0" borderId="16" xfId="0" applyFont="1" applyBorder="1" applyNumberFormat="1">
      <alignment horizontal="center" vertical="top"/>
    </xf>
    <xf numFmtId="49" fontId="0" fillId="0" borderId="14" xfId="0" applyFont="1" applyBorder="1" applyNumberFormat="1">
      <alignment vertical="top"/>
    </xf>
    <xf numFmtId="49" fontId="0" fillId="45" borderId="19" xfId="0" applyFont="1" applyFill="1" applyBorder="1" applyNumberFormat="1">
      <alignment vertical="top"/>
    </xf>
    <xf numFmtId="49" fontId="0" fillId="0" borderId="16" xfId="0" applyFont="1" applyBorder="1" applyNumberFormat="1">
      <alignment horizontal="center" vertical="top"/>
    </xf>
    <xf numFmtId="49" fontId="0" fillId="46" borderId="14" xfId="0" applyFont="1" applyFill="1" applyBorder="1" applyNumberFormat="1">
      <alignment vertical="top"/>
    </xf>
    <xf numFmtId="49" fontId="0" fillId="0" borderId="17" xfId="0" applyFont="1" applyBorder="1" applyNumberFormat="1">
      <alignment horizontal="center" vertical="top"/>
    </xf>
    <xf numFmtId="49" fontId="0" fillId="3" borderId="14" xfId="0" applyFont="1" applyFill="1" applyBorder="1" applyNumberFormat="1">
      <alignment vertical="top"/>
    </xf>
    <xf numFmtId="49" fontId="0" fillId="47" borderId="14" xfId="0" applyFont="1" applyFill="1" applyBorder="1" applyNumberFormat="1">
      <alignment vertical="top"/>
    </xf>
    <xf numFmtId="49" fontId="0" fillId="16" borderId="19" xfId="0" applyFont="1" applyFill="1" applyBorder="1" applyNumberFormat="1">
      <alignment vertical="top"/>
    </xf>
    <xf numFmtId="49" fontId="0" fillId="5" borderId="16" xfId="0" applyFont="1" applyFill="1" applyBorder="1" applyNumberFormat="1">
      <alignment vertical="top"/>
    </xf>
    <xf numFmtId="49" fontId="0" fillId="5" borderId="14" xfId="0" applyFont="1" applyFill="1" applyBorder="1" applyNumberFormat="1">
      <alignment vertical="top"/>
    </xf>
    <xf numFmtId="49" fontId="0" fillId="16" borderId="14"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6" fillId="0" borderId="13" xfId="0" applyFont="1" applyBorder="1" applyNumberFormat="1">
      <alignment vertical="top" wrapText="1"/>
    </xf>
    <xf numFmtId="0" fontId="0" fillId="0" borderId="13" xfId="0" applyFont="1" applyBorder="1" applyNumberFormat="1">
      <alignment vertical="top" wrapText="1"/>
    </xf>
    <xf numFmtId="0" fontId="22" fillId="0" borderId="20" xfId="0" applyFont="1" applyBorder="1" applyNumberFormat="1">
      <alignment vertical="top" wrapText="1"/>
    </xf>
    <xf numFmtId="0" fontId="0" fillId="0" borderId="0" xfId="0" applyFont="1" applyNumberFormat="1">
      <alignment vertical="top"/>
    </xf>
    <xf numFmtId="0" fontId="0" fillId="0" borderId="14" xfId="0" applyFont="1" applyBorder="1" applyNumberFormat="1">
      <alignment vertical="top" wrapText="1"/>
    </xf>
    <xf numFmtId="49" fontId="0" fillId="0" borderId="14" xfId="0" applyFont="1" applyBorder="1" applyNumberFormat="1">
      <alignment vertical="top" wrapText="1"/>
    </xf>
    <xf numFmtId="49" fontId="0" fillId="0" borderId="19" xfId="0" applyFont="1" applyBorder="1" applyNumberFormat="1">
      <alignment vertical="top"/>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49" fontId="0" fillId="0" borderId="0" xfId="0" applyFont="1" applyNumberFormat="1">
      <alignment vertical="top"/>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107" fillId="0" borderId="0" xfId="0" applyFont="1" applyNumberFormat="1">
      <alignment vertical="center" wrapText="1"/>
    </xf>
    <xf numFmtId="0" fontId="107" fillId="0" borderId="0" xfId="0" applyFont="1" applyNumberFormat="1">
      <alignment horizontal="left" vertical="center" wrapText="1"/>
    </xf>
    <xf numFmtId="49" fontId="122" fillId="0" borderId="0" xfId="0" applyFont="1" applyNumberFormat="1">
      <alignment wrapText="1"/>
    </xf>
    <xf numFmtId="0" fontId="107"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71" fillId="0" borderId="0" xfId="0" applyFont="1" applyNumberFormat="1">
      <alignment wrapText="1"/>
    </xf>
    <xf numFmtId="0" fontId="22" fillId="48" borderId="40" xfId="0" applyFont="1" applyFill="1" applyBorder="1" applyNumberFormat="1">
      <alignment horizontal="right" vertical="center" wrapText="1" indent="1"/>
    </xf>
    <xf numFmtId="0" fontId="22" fillId="48" borderId="67" xfId="0" applyFont="1" applyFill="1" applyBorder="1" applyNumberFormat="1">
      <alignment horizontal="right" vertical="center" wrapText="1" inden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0" xfId="0" applyFont="1" applyNumberFormat="1">
      <alignment vertical="center" wrapText="1"/>
    </xf>
    <xf numFmtId="0" fontId="0" fillId="55" borderId="63" xfId="0" applyFont="1" applyFill="1" applyBorder="1" applyNumberFormat="1">
      <alignment horizontal="center"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22" fillId="48" borderId="0" xfId="0" applyFont="1" applyFill="1" applyNumberFormat="1">
      <alignment horizontal="right" vertical="center" wrapText="1" inden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125" fillId="0" borderId="0" xfId="0" applyFont="1" applyNumberFormat="1"/>
    <xf numFmtId="0" fontId="125" fillId="0" borderId="40" xfId="0" applyFont="1" applyBorder="1" applyNumberFormat="1">
      <alignment wrapText="1"/>
    </xf>
    <xf numFmtId="0" fontId="125" fillId="0" borderId="0" xfId="0" applyFont="1" applyNumberFormat="1">
      <alignment vertical="top" wrapTex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49" fontId="71" fillId="0" borderId="0" xfId="0" applyFont="1" applyNumberFormat="1">
      <alignment vertical="top" wrapText="1"/>
    </xf>
    <xf numFmtId="0" fontId="38" fillId="0" borderId="0" xfId="0" applyFont="1" applyNumberFormat="1"/>
    <xf numFmtId="0" fontId="68" fillId="0" borderId="0" xfId="0" applyFont="1" applyNumberFormat="1">
      <alignment vertical="center" wrapText="1"/>
    </xf>
    <xf numFmtId="0" fontId="96" fillId="0" borderId="0" xfId="0" applyFont="1" applyNumberFormat="1">
      <alignment horizontal="left" vertical="center" wrapText="1"/>
    </xf>
    <xf numFmtId="0" fontId="68" fillId="0" borderId="0" xfId="0" applyFont="1" applyNumberFormat="1">
      <alignment horizontal="left" vertical="center" wrapText="1"/>
    </xf>
    <xf numFmtId="0" fontId="68" fillId="0" borderId="0" xfId="0" applyFont="1" applyNumberFormat="1">
      <alignment vertical="center" wrapText="1"/>
    </xf>
    <xf numFmtId="0" fontId="40" fillId="0" borderId="0" xfId="0" applyFont="1" applyNumberFormat="1">
      <alignment horizontal="center" vertical="center" wrapText="1"/>
    </xf>
    <xf numFmtId="0" fontId="40"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horizontal="left" vertical="center" wrapText="1"/>
    </xf>
    <xf numFmtId="0" fontId="23" fillId="0" borderId="0" xfId="0" applyFont="1" applyNumberFormat="1">
      <alignment horizontal="left" vertical="top" indent="1"/>
    </xf>
    <xf numFmtId="49" fontId="71" fillId="0" borderId="0" xfId="0" applyFont="1" applyNumberFormat="1">
      <alignment vertical="top"/>
    </xf>
    <xf numFmtId="49" fontId="23" fillId="0" borderId="0" xfId="0" applyFont="1" applyNumberFormat="1">
      <alignment vertical="center" wrapText="1"/>
    </xf>
    <xf numFmtId="49" fontId="54"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4" fillId="0" borderId="0" xfId="0" applyFont="1" applyNumberFormat="1">
      <alignment vertical="top"/>
    </xf>
    <xf numFmtId="49" fontId="0" fillId="0" borderId="0" xfId="0" applyFont="1" applyNumberFormat="1">
      <alignment vertical="top"/>
    </xf>
    <xf numFmtId="0" fontId="65" fillId="0" borderId="0" xfId="0" applyFont="1" applyNumberFormat="1">
      <alignment vertical="center" wrapText="1"/>
    </xf>
    <xf numFmtId="0" fontId="96" fillId="0" borderId="0" xfId="0" applyFont="1" applyNumberFormat="1">
      <alignment horizontal="lef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3" fillId="0" borderId="0" xfId="0" applyFont="1" applyNumberFormat="1">
      <alignment vertical="center" wrapText="1"/>
    </xf>
    <xf numFmtId="0" fontId="42" fillId="37" borderId="0" xfId="0" applyFont="1" applyFill="1" applyNumberFormat="1">
      <alignmen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36" fillId="37" borderId="0" xfId="0" applyFont="1" applyFill="1" applyNumberFormat="1">
      <alignment vertical="center" wrapText="1"/>
    </xf>
    <xf numFmtId="0" fontId="101"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23" fillId="37" borderId="28" xfId="0" applyFont="1" applyFill="1" applyBorder="1" applyNumberFormat="1">
      <alignment horizontal="right" vertical="center" wrapText="1" indent="1"/>
    </xf>
    <xf numFmtId="0" fontId="0" fillId="38" borderId="14" xfId="0" applyFont="1" applyFill="1" applyBorder="1" applyNumberFormat="1">
      <alignment horizontal="left" vertical="center" wrapText="1" indent="1"/>
    </xf>
    <xf numFmtId="14" fontId="96" fillId="37" borderId="0" xfId="0" applyFont="1" applyFill="1" applyNumberFormat="1">
      <alignment horizontal="left"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3" fillId="0" borderId="0" xfId="0" applyFont="1" applyNumberFormat="1">
      <alignment horizontal="center" vertical="center" wrapText="1"/>
    </xf>
    <xf numFmtId="0" fontId="23" fillId="0" borderId="0" xfId="0" applyFont="1" applyNumberFormat="1">
      <alignment vertical="center" wrapText="1"/>
    </xf>
    <xf numFmtId="0" fontId="41" fillId="0" borderId="0" xfId="0" applyFont="1" applyNumberFormat="1">
      <alignment vertical="center" wrapText="1"/>
    </xf>
    <xf numFmtId="0" fontId="42" fillId="37" borderId="0" xfId="0" applyFont="1" applyFill="1" applyNumberFormat="1">
      <alignment vertical="center" wrapText="1"/>
    </xf>
    <xf numFmtId="0" fontId="23" fillId="37" borderId="28" xfId="0" applyFont="1" applyFill="1" applyBorder="1" applyNumberFormat="1">
      <alignment horizontal="right" vertical="center" wrapText="1" indent="1"/>
    </xf>
    <xf numFmtId="0" fontId="23" fillId="42" borderId="14"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4"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14" fontId="98" fillId="0" borderId="14" xfId="0" applyFont="1" applyBorder="1" applyNumberFormat="1">
      <alignment horizontal="center" vertical="center" wrapText="1"/>
    </xf>
    <xf numFmtId="167" fontId="0" fillId="42" borderId="14"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8" fillId="0" borderId="14" xfId="0" applyFont="1" applyBorder="1" applyNumberFormat="1">
      <alignment horizontal="left" vertical="center" wrapText="1"/>
    </xf>
    <xf numFmtId="49" fontId="23" fillId="37" borderId="28" xfId="0" applyFont="1" applyFill="1" applyBorder="1" applyNumberFormat="1">
      <alignment horizontal="right" vertical="center" wrapText="1" indent="1"/>
    </xf>
    <xf numFmtId="167" fontId="0" fillId="42" borderId="14" xfId="0" applyFont="1" applyFill="1" applyBorder="1" applyNumberFormat="1">
      <alignment horizontal="left" vertical="center" wrapText="1" indent="1"/>
      <protection locked="0"/>
    </xf>
    <xf numFmtId="49" fontId="54" fillId="0" borderId="0" xfId="0" applyFont="1" applyNumberFormat="1">
      <alignment vertical="center" wrapText="1"/>
    </xf>
    <xf numFmtId="0" fontId="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167" fontId="0" fillId="42" borderId="14" xfId="0" applyFont="1" applyFill="1" applyBorder="1" applyNumberFormat="1">
      <alignment horizontal="left" vertical="center" wrapText="1" indent="1"/>
      <protection locked="0"/>
    </xf>
    <xf numFmtId="0" fontId="0" fillId="37" borderId="0" xfId="0" applyFont="1" applyFill="1" applyNumberFormat="1">
      <alignment horizontal="right" vertical="center" wrapText="1" indent="1"/>
    </xf>
    <xf numFmtId="0" fontId="101"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42" borderId="14" xfId="0" applyFont="1" applyFill="1" applyBorder="1" applyNumberFormat="1">
      <alignment horizontal="left" vertical="center" wrapText="1" indent="1"/>
      <protection locked="0"/>
    </xf>
    <xf numFmtId="49" fontId="13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49" fontId="130" fillId="42" borderId="14" xfId="0" applyFont="1" applyFill="1" applyBorder="1" applyNumberFormat="1">
      <alignment horizontal="left" vertical="center" wrapText="1" indent="1"/>
      <protection locked="0"/>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49" fontId="23" fillId="38" borderId="14"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8"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2" borderId="14" xfId="0" applyFont="1" applyFill="1" applyBorder="1" applyNumberFormat="1">
      <alignment horizontal="left" vertical="center" wrapText="1" indent="1"/>
      <protection locked="0"/>
    </xf>
    <xf numFmtId="0" fontId="23" fillId="42" borderId="14" xfId="0" applyFont="1" applyFill="1" applyBorder="1" applyNumberFormat="1">
      <alignment horizontal="left" vertical="center" wrapText="1" indent="1"/>
      <protection locked="0"/>
    </xf>
    <xf numFmtId="0" fontId="66" fillId="37" borderId="0" xfId="0" applyFont="1" applyFill="1" applyNumberFormat="1">
      <alignment horizontal="right" vertical="center" wrapText="1" indent="1"/>
    </xf>
    <xf numFmtId="0" fontId="66" fillId="37" borderId="0" xfId="0" applyFont="1" applyFill="1" applyNumberFormat="1">
      <alignment horizontal="left" vertical="center" wrapText="1" indent="1"/>
    </xf>
    <xf numFmtId="49" fontId="23" fillId="43" borderId="14" xfId="0" applyFont="1" applyFill="1" applyBorder="1" applyNumberFormat="1">
      <alignment horizontal="left" vertical="center" wrapText="1" inden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40" fillId="0" borderId="0" xfId="0" applyFont="1" applyNumberFormat="1">
      <alignment horizontal="left" vertical="center" wrapText="1"/>
    </xf>
    <xf numFmtId="49" fontId="32" fillId="0" borderId="14" xfId="0" applyFont="1" applyBorder="1" applyNumberFormat="1">
      <alignment horizontal="left" vertical="center" wrapText="1" indent="1"/>
    </xf>
    <xf numFmtId="0" fontId="40" fillId="0" borderId="0" xfId="0" applyFont="1" applyNumberFormat="1">
      <alignment horizontal="left" vertical="center" wrapText="1"/>
    </xf>
    <xf numFmtId="0" fontId="23" fillId="0" borderId="0" xfId="0" applyFont="1" applyNumberFormat="1">
      <alignment vertical="center" wrapText="1"/>
    </xf>
    <xf numFmtId="14" fontId="97" fillId="0" borderId="0" xfId="0" applyFont="1" applyNumberFormat="1">
      <alignment horizontal="center" vertical="center" wrapText="1"/>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88" fillId="0" borderId="0" xfId="0" applyFont="1" applyNumberFormat="1">
      <alignment vertical="center" wrapText="1"/>
    </xf>
    <xf numFmtId="0" fontId="23" fillId="43" borderId="14" xfId="0" applyFont="1" applyFill="1" applyBorder="1" applyNumberFormat="1">
      <alignment horizontal="left" vertical="center" wrapText="1" indent="1"/>
    </xf>
    <xf numFmtId="167" fontId="0" fillId="0" borderId="13" xfId="0" applyFont="1" applyBorder="1" applyNumberFormat="1">
      <alignment horizontal="left" vertical="center" wrapText="1" indent="1"/>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xf>
    <xf numFmtId="0" fontId="96" fillId="0" borderId="0" xfId="0" applyFont="1" applyNumberFormat="1">
      <alignment horizontal="left" vertical="center" wrapText="1"/>
    </xf>
    <xf numFmtId="49" fontId="40" fillId="0" borderId="0" xfId="0" applyFont="1" applyNumberFormat="1">
      <alignment horizontal="left" vertical="center" wrapText="1"/>
    </xf>
    <xf numFmtId="49" fontId="42"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2" borderId="14" xfId="0" applyFont="1" applyFill="1" applyBorder="1" applyNumberFormat="1">
      <alignment horizontal="left" vertical="center" wrapText="1" indent="1"/>
      <protection locked="0"/>
    </xf>
    <xf numFmtId="49" fontId="130" fillId="42" borderId="14"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6" fillId="0" borderId="0" xfId="0" applyFont="1" applyNumberFormat="1">
      <alignment horizontal="left" vertical="center" wrapText="1"/>
    </xf>
    <xf numFmtId="0" fontId="40" fillId="0" borderId="0" xfId="0" applyFont="1" applyNumberFormat="1">
      <alignment horizontal="left" vertical="center" wrapText="1"/>
    </xf>
    <xf numFmtId="0" fontId="41"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40" fillId="0" borderId="0" xfId="0" applyFont="1" applyNumberFormat="1">
      <alignment horizontal="center" vertical="center" wrapText="1"/>
    </xf>
    <xf numFmtId="0" fontId="54" fillId="0" borderId="0" xfId="0" applyFont="1" applyNumberFormat="1">
      <alignment vertical="center" wrapText="1"/>
    </xf>
    <xf numFmtId="0" fontId="55" fillId="0" borderId="0" xfId="0" applyFont="1" applyNumberFormat="1">
      <alignment vertical="center" wrapText="1"/>
    </xf>
    <xf numFmtId="0" fontId="77"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center" vertical="center" wrapText="1"/>
    </xf>
    <xf numFmtId="0" fontId="55" fillId="0" borderId="0" xfId="0" applyFont="1" applyNumberFormat="1">
      <alignment horizontal="left" vertical="center" wrapText="1" indent="1"/>
    </xf>
    <xf numFmtId="0" fontId="55" fillId="0" borderId="0" xfId="0" applyFont="1" applyNumberFormat="1">
      <alignment horizontal="left" vertical="center" indent="1"/>
    </xf>
    <xf numFmtId="0" fontId="61" fillId="0" borderId="0" xfId="0" applyFont="1" applyNumberFormat="1">
      <alignment vertical="center" wrapText="1"/>
    </xf>
    <xf numFmtId="0" fontId="23"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50"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17"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4" xfId="0" applyFont="1" applyBorder="1" applyNumberFormat="1">
      <alignment horizontal="center" vertical="center" wrapText="1"/>
    </xf>
    <xf numFmtId="0" fontId="44" fillId="0" borderId="0" xfId="0" applyFont="1" applyNumberFormat="1">
      <alignment horizontal="center" vertical="center" wrapText="1"/>
    </xf>
    <xf numFmtId="49" fontId="44" fillId="0" borderId="17" xfId="0" applyFont="1" applyBorder="1" applyNumberFormat="1">
      <alignment horizontal="center" vertical="center" wrapText="1"/>
    </xf>
    <xf numFmtId="49" fontId="44" fillId="0" borderId="17" xfId="0" applyFont="1" applyBorder="1" applyNumberFormat="1">
      <alignment horizontal="center"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49" fontId="23" fillId="40" borderId="21" xfId="0" applyFont="1" applyFill="1" applyBorder="1" applyNumberFormat="1">
      <alignment horizontal="center" vertical="center" wrapText="1"/>
    </xf>
    <xf numFmtId="49" fontId="54" fillId="40" borderId="21" xfId="0" applyFont="1" applyFill="1" applyBorder="1" applyNumberFormat="1">
      <alignment horizontal="left" vertical="center" wrapText="1"/>
    </xf>
    <xf numFmtId="49" fontId="54" fillId="40" borderId="22" xfId="0" applyFont="1" applyFill="1" applyBorder="1" applyNumberFormat="1">
      <alignment horizontal="left" vertical="center" wrapText="1"/>
    </xf>
    <xf numFmtId="0" fontId="55" fillId="0" borderId="24" xfId="0" applyFont="1" applyBorder="1" applyNumberFormat="1">
      <alignment vertical="center"/>
    </xf>
    <xf numFmtId="0" fontId="50" fillId="0" borderId="0" xfId="0" applyFont="1" applyNumberFormat="1">
      <alignment vertical="center" wrapText="1"/>
    </xf>
    <xf numFmtId="0" fontId="23" fillId="0" borderId="0" xfId="0" applyFont="1" applyNumberFormat="1">
      <alignment horizontal="center"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9" fontId="54" fillId="0" borderId="14" xfId="0" applyFont="1" applyBorder="1" applyNumberFormat="1">
      <alignment horizontal="left" vertical="center" wrapText="1"/>
    </xf>
    <xf numFmtId="0" fontId="55" fillId="0" borderId="0" xfId="0" applyFont="1" applyNumberFormat="1">
      <alignment vertical="center"/>
    </xf>
    <xf numFmtId="0" fontId="55" fillId="0" borderId="0" xfId="0" applyFont="1" applyNumberFormat="1">
      <alignment vertical="center"/>
    </xf>
    <xf numFmtId="49" fontId="0" fillId="0" borderId="0" xfId="0" applyFont="1" applyNumberFormat="1">
      <alignment vertical="top"/>
    </xf>
    <xf numFmtId="0" fontId="44" fillId="0" borderId="26" xfId="0" applyFont="1" applyBorder="1" applyNumberFormat="1">
      <alignment vertical="top" wrapText="1"/>
    </xf>
    <xf numFmtId="0" fontId="23" fillId="0" borderId="25" xfId="0" applyFont="1" applyBorder="1" applyNumberFormat="1">
      <alignment horizontal="center" vertical="center" wrapText="1"/>
    </xf>
    <xf numFmtId="0" fontId="55" fillId="0" borderId="25" xfId="0" applyFont="1" applyBorder="1" applyNumberFormat="1">
      <alignment horizontal="center" vertical="center" wrapText="1"/>
    </xf>
    <xf numFmtId="14" fontId="23" fillId="43" borderId="25" xfId="0" applyFont="1" applyFill="1" applyBorder="1" applyNumberFormat="1">
      <alignment horizontal="left" vertical="center" wrapText="1" indent="1"/>
    </xf>
    <xf numFmtId="49" fontId="23" fillId="38" borderId="25" xfId="0" applyFont="1" applyFill="1" applyBorder="1" applyNumberFormat="1">
      <alignment horizontal="center" vertical="center" wrapText="1"/>
    </xf>
    <xf numFmtId="0" fontId="79" fillId="0" borderId="0" xfId="0" applyFont="1" applyNumberFormat="1">
      <alignment vertical="center" wrapText="1"/>
    </xf>
    <xf numFmtId="49" fontId="54" fillId="0" borderId="0" xfId="0" applyFont="1" applyNumberFormat="1">
      <alignment vertical="top"/>
    </xf>
    <xf numFmtId="49" fontId="55" fillId="0" borderId="0" xfId="0" applyFont="1" applyNumberFormat="1">
      <alignment vertical="top"/>
    </xf>
    <xf numFmtId="0" fontId="0" fillId="0" borderId="0" xfId="0" applyFont="1" applyNumberFormat="1">
      <alignment vertical="center" wrapText="1"/>
    </xf>
    <xf numFmtId="0" fontId="44" fillId="0" borderId="0" xfId="0" applyFont="1" applyNumberFormat="1">
      <alignment vertical="top" wrapText="1"/>
    </xf>
    <xf numFmtId="49" fontId="36" fillId="40" borderId="16" xfId="0" applyFont="1" applyFill="1" applyBorder="1" applyNumberFormat="1">
      <alignment horizontal="right" vertical="center" wrapText="1"/>
    </xf>
    <xf numFmtId="49" fontId="36" fillId="40" borderId="17"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0" fillId="40" borderId="17" xfId="0" applyFont="1" applyFill="1" applyBorder="1" applyNumberFormat="1">
      <alignment horizontal="right" vertical="center" wrapText="1"/>
    </xf>
    <xf numFmtId="49" fontId="0" fillId="40" borderId="15" xfId="0" applyFont="1" applyFill="1" applyBorder="1" applyNumberFormat="1">
      <alignment horizontal="right"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xf>
    <xf numFmtId="0" fontId="55" fillId="0" borderId="0" xfId="0" applyFont="1" applyNumberFormat="1">
      <alignment vertical="center"/>
    </xf>
    <xf numFmtId="0" fontId="50" fillId="0" borderId="0" xfId="0" applyFont="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55" fillId="0" borderId="0" xfId="0" applyFont="1" applyNumberFormat="1">
      <alignment vertical="center" wrapText="1"/>
    </xf>
    <xf numFmtId="49" fontId="23" fillId="40" borderId="16"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48" fillId="40" borderId="17" xfId="0" applyFont="1" applyFill="1" applyBorder="1" applyNumberFormat="1">
      <alignment horizontal="left" vertical="center"/>
    </xf>
    <xf numFmtId="49" fontId="23" fillId="40" borderId="15" xfId="0" applyFont="1" applyFill="1" applyBorder="1" applyNumberFormat="1">
      <alignment horizontal="right" vertical="center" wrapText="1"/>
    </xf>
    <xf numFmtId="0" fontId="45" fillId="0" borderId="0" xfId="0" applyFont="1" applyNumberFormat="1">
      <alignment horizontal="center" vertical="center" wrapText="1"/>
    </xf>
    <xf numFmtId="0" fontId="23" fillId="0" borderId="23" xfId="0" applyFont="1" applyBorder="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99" fillId="0" borderId="0" xfId="0" applyFont="1" applyNumberFormat="1">
      <alignment vertical="center" wrapText="1"/>
    </xf>
    <xf numFmtId="0" fontId="57"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0" xfId="0" applyFont="1" applyNumberFormat="1">
      <alignment vertical="center"/>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54" fillId="0" borderId="0" xfId="0" applyFont="1" applyNumberFormat="1">
      <alignment vertical="center"/>
    </xf>
    <xf numFmtId="0" fontId="49" fillId="0" borderId="0" xfId="0" applyFont="1" applyNumberFormat="1">
      <alignment vertical="center"/>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49"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9" fillId="0" borderId="0" xfId="0" applyFont="1" applyNumberFormat="1">
      <alignment vertical="center"/>
    </xf>
    <xf numFmtId="0" fontId="23" fillId="44" borderId="0" xfId="0" applyFont="1" applyFill="1" applyNumberFormat="1">
      <alignment horizontal="center" vertical="center" wrapText="1"/>
    </xf>
    <xf numFmtId="0" fontId="23" fillId="0" borderId="0" xfId="0" applyFont="1" applyNumberFormat="1">
      <alignment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80" fillId="0" borderId="14" xfId="0" applyFont="1" applyBorder="1" applyNumberFormat="1">
      <alignment horizontal="center" vertical="center" wrapText="1"/>
    </xf>
    <xf numFmtId="0" fontId="23" fillId="0" borderId="0" xfId="0" applyFont="1" applyNumberFormat="1">
      <alignment horizontal="center" vertical="center" wrapText="1"/>
    </xf>
    <xf numFmtId="0" fontId="87"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54" fillId="0" borderId="24" xfId="0" applyFont="1" applyBorder="1" applyNumberFormat="1">
      <alignment vertical="center"/>
    </xf>
    <xf numFmtId="0" fontId="0" fillId="0" borderId="0" xfId="0" applyFont="1" applyNumberFormat="1">
      <alignment vertical="center"/>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54" fillId="0" borderId="24" xfId="0" applyFont="1" applyBorder="1" applyNumberFormat="1">
      <alignment vertical="center"/>
    </xf>
    <xf numFmtId="0" fontId="55"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43" xfId="0" applyFont="1" applyFill="1" applyBorder="1" applyNumberFormat="1">
      <alignment horizontal="center" vertical="center" wrapText="1"/>
    </xf>
    <xf numFmtId="49" fontId="0" fillId="40" borderId="17" xfId="0" applyFont="1" applyFill="1" applyBorder="1" applyNumberFormat="1">
      <alignment horizontal="left" vertical="center"/>
    </xf>
    <xf numFmtId="0" fontId="0" fillId="40" borderId="15"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24" xfId="0" applyFont="1" applyBorder="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1"/>
      <protection locked="0"/>
    </xf>
    <xf numFmtId="49" fontId="48" fillId="40" borderId="15" xfId="0" applyFont="1" applyFill="1" applyBorder="1" applyNumberFormat="1">
      <alignment horizontal="left" vertical="center" indent="1"/>
    </xf>
    <xf numFmtId="0" fontId="23" fillId="43" borderId="25" xfId="0" applyFont="1" applyFill="1" applyBorder="1" applyNumberFormat="1">
      <alignment horizontal="left" vertical="center" wrapText="1" indent="2"/>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8" fillId="40" borderId="17" xfId="0" applyFont="1" applyFill="1" applyBorder="1" applyNumberFormat="1">
      <alignment horizontal="left" vertical="center" indent="2"/>
    </xf>
    <xf numFmtId="0" fontId="0" fillId="0" borderId="0" xfId="0" applyFont="1" applyNumberFormat="1">
      <alignment vertical="center"/>
    </xf>
    <xf numFmtId="0" fontId="54"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49" fillId="0" borderId="0" xfId="0" applyFont="1" applyNumberFormat="1">
      <alignment vertical="center"/>
    </xf>
    <xf numFmtId="0" fontId="56" fillId="0" borderId="0" xfId="0" applyFont="1" applyNumberFormat="1">
      <alignment vertical="center"/>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69"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3" fillId="0" borderId="0" xfId="0" applyFont="1" applyNumberFormat="1">
      <alignment vertical="center"/>
    </xf>
    <xf numFmtId="0" fontId="23" fillId="0" borderId="29" xfId="0" applyFont="1" applyBorder="1" applyNumberFormat="1">
      <alignment horizontal="left" vertical="center" indent="1"/>
    </xf>
    <xf numFmtId="0" fontId="72" fillId="0" borderId="0" xfId="0" applyFont="1" applyNumberFormat="1">
      <alignment vertical="center"/>
    </xf>
    <xf numFmtId="0" fontId="55" fillId="0" borderId="0" xfId="0" applyFont="1" applyNumberFormat="1">
      <alignment vertical="center"/>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72"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9" fillId="0" borderId="0" xfId="0" applyFont="1" applyNumberFormat="1">
      <alignment vertical="center"/>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xf>
    <xf numFmtId="0" fontId="55" fillId="0" borderId="0" xfId="0" applyFont="1" applyNumberFormat="1">
      <alignment vertical="center"/>
    </xf>
    <xf numFmtId="49" fontId="55" fillId="37" borderId="0" xfId="0" applyFont="1" applyFill="1" applyNumberFormat="1">
      <alignment horizontal="center" vertical="center" wrapText="1"/>
    </xf>
    <xf numFmtId="49" fontId="55" fillId="37" borderId="29" xfId="0" applyFont="1" applyFill="1" applyBorder="1" applyNumberFormat="1">
      <alignment horizontal="center" vertical="center" wrapText="1"/>
    </xf>
    <xf numFmtId="0" fontId="45" fillId="0" borderId="0" xfId="0" applyFont="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4" xfId="0" applyFont="1" applyBorder="1" applyNumberFormat="1">
      <alignment horizontal="center" vertical="top"/>
    </xf>
    <xf numFmtId="0" fontId="23" fillId="0" borderId="14" xfId="0" applyFont="1" applyBorder="1" applyNumberFormat="1">
      <alignment horizontal="left" vertical="top" wrapText="1"/>
    </xf>
    <xf numFmtId="0" fontId="23" fillId="43" borderId="19"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22"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3" borderId="38" xfId="0" applyFont="1" applyFill="1" applyBorder="1" applyNumberFormat="1">
      <alignment horizontal="center" vertical="top" wrapText="1"/>
    </xf>
    <xf numFmtId="0" fontId="0" fillId="0" borderId="24"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horizontal="left" vertical="top"/>
    </xf>
    <xf numFmtId="0" fontId="23" fillId="43" borderId="25" xfId="0" applyFont="1" applyFill="1" applyBorder="1" applyNumberFormat="1">
      <alignment horizontal="center" vertical="top" wrapText="1"/>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9" xfId="0" applyFont="1" applyBorder="1" applyNumberFormat="1">
      <alignment horizontal="center" vertical="top"/>
    </xf>
    <xf numFmtId="0" fontId="23" fillId="0" borderId="19" xfId="0" applyFont="1" applyBorder="1" applyNumberFormat="1">
      <alignment horizontal="left" vertical="top" wrapText="1"/>
    </xf>
    <xf numFmtId="0" fontId="0" fillId="0" borderId="38" xfId="0" applyFont="1" applyBorder="1" applyNumberFormat="1">
      <alignment horizontal="center" vertical="top"/>
    </xf>
    <xf numFmtId="0" fontId="23" fillId="0" borderId="38" xfId="0" applyFont="1" applyBorder="1" applyNumberFormat="1">
      <alignment horizontal="left" vertical="top" wrapText="1"/>
    </xf>
    <xf numFmtId="0" fontId="0" fillId="0" borderId="25" xfId="0" applyFont="1" applyBorder="1" applyNumberFormat="1">
      <alignment horizontal="center" vertical="top"/>
    </xf>
    <xf numFmtId="0" fontId="23" fillId="0" borderId="25" xfId="0" applyFont="1" applyBorder="1" applyNumberFormat="1">
      <alignment horizontal="left" vertical="top"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43" borderId="14" xfId="0" applyFont="1" applyFill="1" applyBorder="1" applyNumberFormat="1">
      <alignment horizontal="left" vertical="top" wrapText="1"/>
    </xf>
    <xf numFmtId="0" fontId="0"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49" fontId="23" fillId="43" borderId="19"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0" fillId="43" borderId="14"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49" fontId="23" fillId="43" borderId="38" xfId="0" applyFont="1" applyFill="1" applyBorder="1" applyNumberFormat="1">
      <alignment horizontal="center"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0" fillId="0" borderId="14" xfId="0" applyFont="1" applyBorder="1" applyNumberFormat="1">
      <alignment vertical="top"/>
    </xf>
    <xf numFmtId="49" fontId="0" fillId="39" borderId="14" xfId="0" applyFont="1" applyFill="1" applyBorder="1" applyNumberFormat="1">
      <alignment horizontal="left" vertical="top"/>
      <protection locked="0"/>
    </xf>
    <xf numFmtId="49" fontId="0" fillId="43" borderId="14" xfId="0" applyFont="1" applyFill="1" applyBorder="1" applyNumberFormat="1">
      <alignment horizontal="left" vertical="center" wrapText="1"/>
      <protection locked="0"/>
    </xf>
    <xf numFmtId="49" fontId="23" fillId="43" borderId="25" xfId="0" applyFont="1" applyFill="1" applyBorder="1" applyNumberFormat="1">
      <alignment horizontal="center" vertical="center" wrapText="1"/>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31" xfId="0" applyFont="1" applyFill="1" applyBorder="1" applyNumberFormat="1">
      <alignment horizontal="left" vertical="center"/>
    </xf>
    <xf numFmtId="49" fontId="0" fillId="0" borderId="0" xfId="0" applyFont="1" applyNumberFormat="1">
      <alignment vertical="center"/>
    </xf>
    <xf numFmtId="0" fontId="0" fillId="0" borderId="0" xfId="0" applyFont="1" applyNumberFormat="1">
      <alignment vertical="center"/>
    </xf>
    <xf numFmtId="0" fontId="45" fillId="0" borderId="0" xfId="0" applyFont="1" applyNumberFormat="1">
      <alignment horizontal="center" vertical="center" wrapText="1"/>
    </xf>
    <xf numFmtId="49" fontId="0" fillId="0" borderId="38" xfId="0" applyFont="1" applyBorder="1" applyNumberFormat="1">
      <alignment vertical="top"/>
    </xf>
    <xf numFmtId="49" fontId="0" fillId="0" borderId="38" xfId="0" applyFont="1" applyBorder="1" applyNumberFormat="1">
      <alignment horizontal="left" vertical="top"/>
    </xf>
    <xf numFmtId="0" fontId="23" fillId="43" borderId="38" xfId="0" applyFont="1" applyFill="1" applyBorder="1" applyNumberFormat="1">
      <alignment horizontal="center" vertical="top" wrapText="1"/>
    </xf>
    <xf numFmtId="49" fontId="0" fillId="43" borderId="38" xfId="0" applyFont="1" applyFill="1" applyBorder="1" applyNumberFormat="1">
      <alignment horizontal="left" vertical="top"/>
    </xf>
    <xf numFmtId="49" fontId="0" fillId="39" borderId="38" xfId="0" applyFont="1" applyFill="1" applyBorder="1" applyNumberFormat="1">
      <alignment vertical="top"/>
      <protection locked="0"/>
    </xf>
    <xf numFmtId="0" fontId="0" fillId="43" borderId="14" xfId="0" applyFont="1" applyFill="1" applyBorder="1" applyNumberFormat="1">
      <alignment horizontal="left" vertical="center" wrapText="1"/>
      <protection locked="0"/>
    </xf>
    <xf numFmtId="49" fontId="23" fillId="43" borderId="19" xfId="0" applyFont="1" applyFill="1" applyBorder="1" applyNumberFormat="1">
      <alignment horizontal="center" vertical="center" wrapText="1"/>
    </xf>
    <xf numFmtId="49" fontId="0" fillId="37" borderId="14" xfId="0" applyFont="1" applyFill="1" applyBorder="1" applyNumberFormat="1">
      <alignment horizontal="left" vertical="center" wrapText="1"/>
    </xf>
    <xf numFmtId="49"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49" fontId="23" fillId="39" borderId="14" xfId="0" applyFont="1" applyFill="1" applyBorder="1" applyNumberFormat="1">
      <alignment horizontal="left" vertical="center" wrapText="1"/>
      <protection locked="0"/>
    </xf>
    <xf numFmtId="0" fontId="23" fillId="0" borderId="0" xfId="0" applyFont="1" applyNumberFormat="1">
      <alignment horizontal="left" vertical="center" indent="1"/>
    </xf>
    <xf numFmtId="0" fontId="0" fillId="0" borderId="0" xfId="0" applyFont="1" applyNumberFormat="1">
      <alignment horizontal="left" vertical="center" indent="1"/>
    </xf>
    <xf numFmtId="0" fontId="0" fillId="0" borderId="0" xfId="0" applyFont="1" applyNumberFormat="1">
      <alignment vertical="center"/>
    </xf>
    <xf numFmtId="49" fontId="23" fillId="43" borderId="38" xfId="0" applyFont="1" applyFill="1" applyBorder="1" applyNumberFormat="1">
      <alignment horizontal="center"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0" fillId="0" borderId="14" xfId="0" applyFont="1" applyBorder="1" applyNumberFormat="1">
      <alignment vertical="top"/>
    </xf>
    <xf numFmtId="49" fontId="0" fillId="43" borderId="14" xfId="0" applyFont="1" applyFill="1" applyBorder="1" applyNumberFormat="1">
      <alignment horizontal="left" vertical="center" wrapText="1"/>
      <protection locked="0"/>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48" fillId="40" borderId="31" xfId="0" applyFont="1" applyFill="1" applyBorder="1" applyNumberFormat="1">
      <alignment horizontal="left" vertical="center"/>
    </xf>
    <xf numFmtId="49" fontId="0" fillId="42" borderId="14" xfId="0" applyFont="1" applyFill="1" applyBorder="1" applyNumberFormat="1">
      <alignment horizontal="left" vertical="center" wrapText="1"/>
      <protection locked="0"/>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0" fontId="0" fillId="0" borderId="14" xfId="0" applyFont="1" applyBorder="1" applyNumberFormat="1">
      <alignment horizontal="center" vertical="center"/>
    </xf>
    <xf numFmtId="49" fontId="0" fillId="39" borderId="14" xfId="0" applyFont="1" applyFill="1" applyBorder="1" applyNumberFormat="1">
      <alignment horizontal="left" vertical="top"/>
      <protection locked="0"/>
    </xf>
    <xf numFmtId="0" fontId="48" fillId="40" borderId="15" xfId="0" applyFont="1" applyFill="1" applyBorder="1" applyNumberFormat="1">
      <alignment horizontal="left" vertical="center"/>
    </xf>
    <xf numFmtId="49" fontId="0" fillId="43" borderId="14" xfId="0" applyFont="1" applyFill="1" applyBorder="1" applyNumberFormat="1">
      <alignment horizontal="left" vertical="top"/>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5" fillId="0" borderId="0" xfId="0" applyFont="1" applyNumberFormat="1">
      <alignment vertical="top"/>
    </xf>
    <xf numFmtId="49" fontId="55" fillId="0" borderId="0" xfId="0" applyFont="1" applyNumberFormat="1">
      <alignment horizontal="center" vertical="center"/>
    </xf>
    <xf numFmtId="49" fontId="55" fillId="0" borderId="0" xfId="0" applyFont="1" applyNumberFormat="1">
      <alignment horizontal="center" vertical="center"/>
    </xf>
    <xf numFmtId="49" fontId="54" fillId="0" borderId="0" xfId="0" applyFont="1" applyNumberFormat="1">
      <alignment horizontal="center" vertical="center"/>
    </xf>
    <xf numFmtId="49" fontId="72"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2" fillId="0" borderId="0" xfId="0" applyFont="1" applyNumberFormat="1">
      <alignment horizontal="left" vertical="center" wrapText="1" indent="1"/>
    </xf>
    <xf numFmtId="0" fontId="50" fillId="0" borderId="0" xfId="0" applyFont="1" applyNumberFormat="1">
      <alignment vertical="center"/>
    </xf>
    <xf numFmtId="0" fontId="118" fillId="0" borderId="0" xfId="0" applyFont="1" applyNumberFormat="1">
      <alignment vertical="center" wrapText="1"/>
    </xf>
    <xf numFmtId="0" fontId="119" fillId="0" borderId="0" xfId="0" applyFont="1" applyNumberFormat="1">
      <alignment vertical="center" wrapText="1"/>
    </xf>
    <xf numFmtId="0" fontId="5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49" fontId="23" fillId="0" borderId="0" xfId="0" applyFont="1" applyNumberFormat="1">
      <alignment vertical="top"/>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xf>
    <xf numFmtId="49" fontId="23" fillId="0" borderId="39" xfId="0" applyFont="1" applyBorder="1" applyNumberFormat="1">
      <alignment vertical="center" wrapText="1"/>
    </xf>
    <xf numFmtId="0" fontId="23"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21" xfId="0" applyFont="1" applyBorder="1" applyNumberFormat="1">
      <alignment vertical="center" wrapText="1"/>
    </xf>
    <xf numFmtId="49" fontId="23" fillId="0" borderId="24"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49" fontId="45" fillId="0" borderId="0" xfId="0" applyFont="1" applyNumberFormat="1">
      <alignment horizontal="center" vertical="center" wrapText="1"/>
    </xf>
    <xf numFmtId="0" fontId="48" fillId="0" borderId="0" xfId="0" applyFont="1" applyNumberFormat="1">
      <alignment vertical="center"/>
    </xf>
    <xf numFmtId="0" fontId="48" fillId="0" borderId="24" xfId="0" applyFont="1" applyBorder="1" applyNumberFormat="1">
      <alignment horizontal="left" vertical="center"/>
    </xf>
    <xf numFmtId="49" fontId="23" fillId="0" borderId="19" xfId="0" applyFont="1" applyBorder="1" applyNumberFormat="1">
      <alignment horizontal="center" vertical="center"/>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72" fillId="0" borderId="32" xfId="0" applyFont="1" applyBorder="1" applyNumberFormat="1">
      <alignment vertical="top"/>
    </xf>
    <xf numFmtId="49" fontId="72" fillId="0" borderId="29" xfId="0" applyFont="1" applyBorder="1" applyNumberFormat="1">
      <alignment vertical="top"/>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6"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23" fillId="37" borderId="0" xfId="0" applyFont="1" applyFill="1" applyNumberFormat="1"/>
    <xf numFmtId="0" fontId="66" fillId="37" borderId="0" xfId="0" applyFont="1" applyFill="1" applyNumberFormat="1"/>
    <xf numFmtId="0" fontId="55" fillId="37" borderId="0" xfId="0" applyFont="1" applyFill="1" applyNumberFormat="1"/>
    <xf numFmtId="0" fontId="66" fillId="37" borderId="0" xfId="0" applyFont="1" applyFill="1" applyNumberFormat="1">
      <alignment horizontal="center"/>
    </xf>
    <xf numFmtId="0" fontId="95" fillId="0" borderId="0" xfId="0" applyFont="1" applyNumberFormat="1">
      <alignment vertical="center"/>
    </xf>
    <xf numFmtId="0" fontId="94" fillId="0" borderId="0" xfId="0" applyFont="1" applyNumberFormat="1">
      <alignment vertical="center"/>
    </xf>
    <xf numFmtId="0" fontId="78" fillId="37" borderId="0" xfId="0" applyFont="1" applyFill="1" applyNumberFormat="1">
      <alignment horizontal="right" vertical="center"/>
    </xf>
    <xf numFmtId="0" fontId="23" fillId="37" borderId="0" xfId="0" applyFont="1" applyFill="1" applyNumberFormat="1">
      <alignment vertical="center" wrapText="1"/>
    </xf>
    <xf numFmtId="0" fontId="55" fillId="37" borderId="0" xfId="0" applyFont="1" applyFill="1" applyNumberFormat="1">
      <alignment vertical="center" wrapText="1"/>
    </xf>
    <xf numFmtId="0" fontId="23" fillId="37" borderId="0" xfId="0" applyFont="1" applyFill="1" applyNumberFormat="1">
      <alignment horizontal="center" vertical="center" wrapText="1"/>
    </xf>
    <xf numFmtId="0" fontId="98" fillId="37" borderId="0" xfId="0" applyFont="1" applyFill="1" applyNumberFormat="1">
      <alignment horizontal="left" vertical="center"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44" fillId="37" borderId="0" xfId="0" applyFont="1" applyFill="1" applyNumberFormat="1">
      <alignment horizontal="center" vertical="center"/>
    </xf>
    <xf numFmtId="49" fontId="55" fillId="0" borderId="14" xfId="0" applyFont="1" applyBorder="1" applyNumberFormat="1">
      <alignment horizontal="center" vertical="center"/>
    </xf>
    <xf numFmtId="0" fontId="55" fillId="0" borderId="14" xfId="0" applyFont="1" applyBorder="1" applyNumberFormat="1">
      <alignment vertical="center" wrapText="1"/>
    </xf>
    <xf numFmtId="0" fontId="55" fillId="0" borderId="14" xfId="0" applyFont="1" applyBorder="1" applyNumberFormat="1">
      <alignment horizontal="left" vertical="center" wrapText="1"/>
    </xf>
    <xf numFmtId="0" fontId="70" fillId="37" borderId="0" xfId="0" applyFont="1" applyFill="1" applyNumberFormat="1"/>
    <xf numFmtId="49" fontId="0" fillId="37" borderId="14" xfId="0" applyFont="1" applyFill="1" applyBorder="1" applyNumberFormat="1">
      <alignment horizontal="center" vertical="center"/>
    </xf>
    <xf numFmtId="0" fontId="0" fillId="37" borderId="14" xfId="0" applyFont="1" applyFill="1" applyBorder="1" applyNumberFormat="1">
      <alignment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vertical="center" wrapText="1"/>
    </xf>
    <xf numFmtId="0" fontId="0" fillId="37" borderId="14" xfId="0" applyFont="1" applyFill="1" applyBorder="1" applyNumberFormat="1">
      <alignment horizontal="left" vertical="center" wrapText="1" indent="1"/>
    </xf>
    <xf numFmtId="49" fontId="0" fillId="42" borderId="14" xfId="0" applyFont="1" applyFill="1" applyBorder="1" applyNumberFormat="1">
      <alignment horizontal="left" vertical="center" wrapText="1"/>
      <protection locked="0"/>
    </xf>
    <xf numFmtId="0" fontId="55" fillId="0" borderId="14"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95" fillId="0" borderId="0" xfId="0" applyFont="1" applyNumberFormat="1">
      <alignment vertical="center" wrapText="1"/>
    </xf>
    <xf numFmtId="0" fontId="0" fillId="37" borderId="14" xfId="0" applyFont="1" applyFill="1" applyBorder="1" applyNumberFormat="1">
      <alignment horizontal="center" vertical="center"/>
    </xf>
    <xf numFmtId="0" fontId="0" fillId="37" borderId="14" xfId="0" applyFont="1" applyFill="1" applyBorder="1" applyNumberFormat="1">
      <alignment horizontal="left" vertical="center" wrapText="1" indent="2"/>
    </xf>
    <xf numFmtId="49" fontId="0" fillId="0" borderId="14" xfId="0" applyFont="1" applyBorder="1" applyNumberFormat="1">
      <alignment horizontal="left" vertical="center" wrapText="1"/>
    </xf>
    <xf numFmtId="167" fontId="0" fillId="0" borderId="14" xfId="0" applyFont="1" applyBorder="1" applyNumberFormat="1">
      <alignment horizontal="left" vertical="center" wrapText="1" indent="1"/>
    </xf>
    <xf numFmtId="49" fontId="23" fillId="37" borderId="0" xfId="0" applyFont="1" applyFill="1" applyNumberFormat="1">
      <alignment vertical="center" wrapText="1"/>
    </xf>
    <xf numFmtId="0" fontId="23" fillId="37" borderId="26" xfId="0" applyFont="1" applyFill="1" applyBorder="1" applyNumberFormat="1">
      <alignment vertical="center" wrapText="1"/>
    </xf>
    <xf numFmtId="0" fontId="23" fillId="40" borderId="16" xfId="0" applyFont="1" applyFill="1" applyBorder="1" applyNumberFormat="1">
      <alignment horizontal="center"/>
    </xf>
    <xf numFmtId="49" fontId="48" fillId="40" borderId="17" xfId="0" applyFont="1" applyFill="1" applyBorder="1" applyNumberFormat="1">
      <alignment horizontal="left" vertical="center" indent="1"/>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0" fontId="55" fillId="37" borderId="0" xfId="0" applyFont="1" applyFill="1" applyNumberFormat="1"/>
    <xf numFmtId="49" fontId="55" fillId="37" borderId="14" xfId="0" applyFont="1" applyFill="1" applyBorder="1" applyNumberFormat="1">
      <alignment horizontal="center" vertical="center"/>
    </xf>
    <xf numFmtId="0" fontId="55" fillId="37" borderId="14" xfId="0" applyFont="1" applyFill="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0" fontId="0" fillId="37" borderId="14" xfId="0" applyFont="1" applyFill="1" applyBorder="1" applyNumberFormat="1">
      <alignment horizontal="left" vertical="center" wrapText="1"/>
    </xf>
    <xf numFmtId="49" fontId="0" fillId="39" borderId="14" xfId="0" applyFont="1" applyFill="1" applyBorder="1" applyNumberFormat="1">
      <alignment horizontal="left" vertical="center" wrapText="1"/>
      <protection locked="0"/>
    </xf>
    <xf numFmtId="0" fontId="0" fillId="37" borderId="19" xfId="0" applyFont="1" applyFill="1" applyBorder="1" applyNumberFormat="1">
      <alignment horizontal="left" vertical="center" wrapText="1"/>
    </xf>
    <xf numFmtId="0" fontId="23" fillId="37" borderId="19" xfId="0" applyFont="1" applyFill="1" applyBorder="1" applyNumberFormat="1">
      <alignment horizontal="left" vertical="top" wrapText="1"/>
    </xf>
    <xf numFmtId="49" fontId="0" fillId="0" borderId="14" xfId="0" applyFont="1" applyBorder="1" applyNumberFormat="1">
      <alignment horizontal="left" vertical="center" wrapText="1" indent="1"/>
    </xf>
    <xf numFmtId="0" fontId="23" fillId="37" borderId="38" xfId="0" applyFont="1" applyFill="1" applyBorder="1" applyNumberFormat="1">
      <alignment horizontal="left" vertical="top" wrapText="1"/>
    </xf>
    <xf numFmtId="0" fontId="45" fillId="37" borderId="0" xfId="0" applyFont="1" applyFill="1" applyNumberFormat="1">
      <alignment horizontal="center" vertical="center"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37" borderId="25" xfId="0" applyFont="1" applyFill="1" applyBorder="1" applyNumberFormat="1">
      <alignment horizontal="left" vertical="top" wrapText="1"/>
    </xf>
    <xf numFmtId="0" fontId="58" fillId="37" borderId="0" xfId="0" applyFont="1" applyFill="1" applyNumberFormat="1"/>
    <xf numFmtId="49" fontId="23" fillId="42" borderId="14" xfId="0" applyFont="1" applyFill="1" applyBorder="1" applyNumberFormat="1" quotePrefix="1">
      <alignment horizontal="left" vertical="center" wrapText="1"/>
      <protection locked="0"/>
    </xf>
    <xf numFmtId="49" fontId="23" fillId="39"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0" fillId="37" borderId="16" xfId="0" applyFont="1" applyFill="1" applyBorder="1" applyNumberFormat="1">
      <alignment horizontal="left" vertical="center" wrapText="1" indent="1"/>
    </xf>
    <xf numFmtId="49" fontId="23" fillId="43" borderId="16" xfId="0" applyFont="1" applyFill="1" applyBorder="1" applyNumberFormat="1">
      <alignment horizontal="left" vertical="center" wrapText="1"/>
    </xf>
    <xf numFmtId="0" fontId="0" fillId="37" borderId="14" xfId="0" applyFont="1" applyFill="1" applyBorder="1" applyNumberFormat="1">
      <alignment vertical="top" wrapText="1"/>
    </xf>
    <xf numFmtId="49" fontId="23" fillId="37" borderId="0" xfId="0" applyFont="1" applyFill="1" applyNumberFormat="1">
      <alignment horizontal="center" vertical="center" wrapText="1"/>
    </xf>
    <xf numFmtId="0" fontId="0" fillId="37" borderId="16" xfId="0" applyFont="1" applyFill="1" applyBorder="1" applyNumberFormat="1">
      <alignment horizontal="left" vertical="center" wrapText="1"/>
    </xf>
    <xf numFmtId="0" fontId="0" fillId="37" borderId="25" xfId="0" applyFont="1" applyFill="1" applyBorder="1" applyNumberFormat="1">
      <alignment vertical="center" wrapText="1"/>
    </xf>
    <xf numFmtId="0" fontId="81" fillId="37" borderId="0" xfId="0" applyFont="1" applyFill="1" applyNumberFormat="1"/>
    <xf numFmtId="0" fontId="23" fillId="0" borderId="0" xfId="0" applyFont="1" applyNumberFormat="1">
      <alignment vertical="top" wrapText="1"/>
    </xf>
    <xf numFmtId="0" fontId="55" fillId="0" borderId="0" xfId="0" applyFont="1" applyNumberFormat="1">
      <alignment vertical="center" wrapText="1"/>
    </xf>
    <xf numFmtId="0" fontId="53" fillId="0" borderId="0" xfId="0" applyFont="1" applyNumberFormat="1">
      <alignment horizontal="right" vertical="top" wrapText="1"/>
    </xf>
    <xf numFmtId="0" fontId="53" fillId="0" borderId="0" xfId="0" applyFont="1" applyNumberFormat="1">
      <alignment horizontal="left" vertical="top" wrapText="1" indent="1"/>
    </xf>
    <xf numFmtId="0" fontId="53" fillId="0" borderId="0" xfId="0" applyFont="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2" fillId="37" borderId="0" xfId="0" applyFont="1" applyFill="1" applyNumberFormat="1">
      <alignment horizontal="right" vertical="center"/>
    </xf>
    <xf numFmtId="0" fontId="83" fillId="37" borderId="0" xfId="0" applyFont="1" applyFill="1" applyNumberFormat="1">
      <alignment vertical="center"/>
    </xf>
    <xf numFmtId="0" fontId="82" fillId="37" borderId="0" xfId="0" applyFont="1" applyFill="1" applyNumberFormat="1">
      <alignment horizontal="right" vertical="top"/>
    </xf>
    <xf numFmtId="0" fontId="83"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45" fillId="37" borderId="0" xfId="0" applyFont="1" applyFill="1" applyNumberFormat="1">
      <alignment horizontal="center" vertical="center" wrapText="1"/>
    </xf>
    <xf numFmtId="0" fontId="22" fillId="0" borderId="0" xfId="0" applyFont="1" applyNumberFormat="1">
      <alignment horizontal="left" vertical="center" wrapText="1" indent="3"/>
    </xf>
    <xf numFmtId="0" fontId="69" fillId="0" borderId="0" xfId="0" applyFont="1" applyNumberFormat="1">
      <alignment horizontal="center" vertical="center" wrapText="1"/>
    </xf>
    <xf numFmtId="0" fontId="69" fillId="0" borderId="0" xfId="0" applyFont="1" applyNumberFormat="1">
      <alignment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65" fillId="0" borderId="0" xfId="0" applyFont="1" applyNumberFormat="1">
      <alignment vertical="center" wrapText="1"/>
    </xf>
    <xf numFmtId="0" fontId="63" fillId="0" borderId="0" xfId="0" applyFont="1" applyNumberFormat="1">
      <alignment vertical="center" wrapText="1"/>
    </xf>
    <xf numFmtId="0" fontId="84" fillId="37" borderId="0" xfId="0" applyFont="1" applyFill="1" applyNumberFormat="1">
      <alignment horizontal="center" vertical="center" wrapText="1"/>
    </xf>
    <xf numFmtId="0" fontId="65" fillId="0" borderId="0" xfId="0" applyFont="1" applyNumberFormat="1">
      <alignment horizontal="left" vertical="center" wrapText="1" indent="1"/>
    </xf>
    <xf numFmtId="0" fontId="23" fillId="0" borderId="0" xfId="0" applyFont="1" applyNumberFormat="1">
      <alignment horizontal="right" vertical="center"/>
    </xf>
    <xf numFmtId="0" fontId="55" fillId="0" borderId="0" xfId="0" applyFont="1" applyNumberFormat="1">
      <alignment vertical="center" wrapText="1"/>
    </xf>
    <xf numFmtId="0" fontId="0"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44" fillId="37" borderId="0" xfId="0" applyFont="1" applyFill="1" applyNumberFormat="1">
      <alignment horizontal="center" vertical="center" wrapText="1"/>
    </xf>
    <xf numFmtId="49" fontId="44" fillId="37" borderId="0" xfId="0" applyFont="1" applyFill="1" applyNumberFormat="1">
      <alignment horizontal="center" vertical="center" wrapText="1"/>
    </xf>
    <xf numFmtId="0" fontId="23" fillId="0" borderId="0" xfId="0" applyFont="1" applyNumberFormat="1">
      <alignment vertical="center" wrapText="1"/>
    </xf>
    <xf numFmtId="0" fontId="77" fillId="0" borderId="0" xfId="0" applyFont="1" applyNumberFormat="1">
      <alignmen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49" fontId="77" fillId="0" borderId="14" xfId="0" applyFont="1" applyBorder="1" applyNumberFormat="1">
      <alignment horizontal="left" vertical="center" wrapText="1"/>
    </xf>
    <xf numFmtId="49" fontId="0" fillId="0" borderId="14" xfId="0" applyFont="1" applyBorder="1" applyNumberFormat="1">
      <alignment vertical="top" wrapText="1"/>
    </xf>
    <xf numFmtId="49" fontId="0" fillId="0" borderId="14" xfId="0" applyFont="1" applyBorder="1" applyNumberFormat="1">
      <alignment horizontal="center" vertical="center" wrapText="1"/>
    </xf>
    <xf numFmtId="49" fontId="0" fillId="39"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 fontId="0" fillId="42"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 fontId="0" fillId="42" borderId="15" xfId="0" applyFont="1" applyFill="1" applyBorder="1" applyNumberFormat="1">
      <alignment horizontal="right" vertical="center" wrapText="1"/>
      <protection locked="0"/>
    </xf>
    <xf numFmtId="0" fontId="0" fillId="39" borderId="14" xfId="0" applyFont="1" applyFill="1" applyBorder="1" applyNumberFormat="1">
      <alignment horizontal="right" vertical="center" wrapText="1"/>
      <protection locked="0"/>
    </xf>
    <xf numFmtId="3" fontId="0" fillId="0" borderId="15" xfId="0" applyFont="1" applyBorder="1" applyNumberFormat="1">
      <alignment horizontal="right" vertical="center" wrapText="1"/>
    </xf>
    <xf numFmtId="0" fontId="0" fillId="0" borderId="19" xfId="0" applyFont="1" applyBorder="1" applyNumberFormat="1">
      <alignment horizontal="left" vertical="top" wrapText="1"/>
    </xf>
    <xf numFmtId="49" fontId="36" fillId="40" borderId="16" xfId="0" applyFont="1" applyFill="1" applyBorder="1" applyNumberFormat="1">
      <alignment horizontal="center" vertical="center"/>
    </xf>
    <xf numFmtId="0" fontId="48" fillId="40" borderId="17" xfId="0" applyFont="1" applyFill="1" applyBorder="1" applyNumberFormat="1">
      <alignment vertical="center"/>
    </xf>
    <xf numFmtId="49" fontId="48" fillId="40" borderId="17" xfId="0" applyFont="1" applyFill="1" applyBorder="1" applyNumberFormat="1">
      <alignment vertical="center"/>
    </xf>
    <xf numFmtId="49" fontId="78" fillId="40" borderId="17" xfId="0" applyFont="1" applyFill="1" applyBorder="1" applyNumberFormat="1">
      <alignment vertical="center"/>
    </xf>
    <xf numFmtId="49" fontId="78" fillId="40" borderId="15" xfId="0" applyFont="1" applyFill="1" applyBorder="1" applyNumberFormat="1">
      <alignment vertical="center"/>
    </xf>
    <xf numFmtId="0" fontId="0" fillId="0" borderId="25" xfId="0" applyFont="1" applyBorder="1" applyNumberFormat="1">
      <alignment horizontal="left" vertical="top" wrapText="1"/>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0" fillId="0" borderId="0" xfId="0" applyFont="1" applyNumberFormat="1">
      <alignment vertical="center" wrapText="1"/>
    </xf>
    <xf numFmtId="0" fontId="55" fillId="0" borderId="0" xfId="0" applyFont="1" applyNumberFormat="1">
      <alignment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0" fillId="0" borderId="39" xfId="0" applyFont="1" applyBorder="1" applyNumberFormat="1">
      <alignment horizontal="center" vertical="center" wrapText="1"/>
    </xf>
    <xf numFmtId="0" fontId="23" fillId="43" borderId="21" xfId="0" applyFont="1" applyFill="1" applyBorder="1" applyNumberFormat="1">
      <alignment horizontal="lef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49" fontId="0" fillId="0" borderId="32" xfId="0" applyFont="1" applyBorder="1" applyNumberFormat="1">
      <alignment horizontal="center" vertical="center" wrapText="1"/>
    </xf>
    <xf numFmtId="0" fontId="23" fillId="43" borderId="29" xfId="0" applyFont="1" applyFill="1" applyBorder="1" applyNumberFormat="1">
      <alignment horizontal="left" vertical="center" wrapText="1"/>
    </xf>
    <xf numFmtId="0" fontId="93" fillId="0" borderId="0" xfId="0" applyFont="1" applyNumberFormat="1">
      <alignment vertical="center" wrapText="1"/>
    </xf>
    <xf numFmtId="0" fontId="55" fillId="0" borderId="0" xfId="0" applyFont="1" applyNumberFormat="1">
      <alignment vertical="center" wrapText="1"/>
    </xf>
    <xf numFmtId="0" fontId="45" fillId="37" borderId="0" xfId="0" applyFont="1" applyFill="1" applyNumberFormat="1">
      <alignment horizontal="center" vertical="center" wrapText="1"/>
    </xf>
    <xf numFmtId="0" fontId="23" fillId="0" borderId="21" xfId="0" applyFont="1" applyBorder="1" applyNumberFormat="1">
      <alignment horizontal="left" vertical="top" wrapText="1" indent="1"/>
    </xf>
    <xf numFmtId="0" fontId="69"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vertical="center" wrapText="1"/>
    </xf>
    <xf numFmtId="0" fontId="23" fillId="0" borderId="25" xfId="0" applyFont="1" applyBorder="1" applyNumberFormat="1">
      <alignment horizontal="center" vertical="center" wrapText="1"/>
    </xf>
    <xf numFmtId="0" fontId="23" fillId="0" borderId="0" xfId="0" applyFont="1" applyNumberFormat="1">
      <alignmen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2" fillId="0" borderId="0" xfId="0" applyFont="1" applyNumberFormat="1">
      <alignment horizontal="center" vertical="center" wrapText="1"/>
    </xf>
    <xf numFmtId="0" fontId="50" fillId="0" borderId="0" xfId="0" applyFont="1" applyNumberFormat="1">
      <alignment vertical="center" wrapText="1"/>
    </xf>
    <xf numFmtId="4" fontId="65" fillId="0" borderId="0" xfId="0" applyFont="1" applyNumberFormat="1">
      <alignment horizontal="right"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4" fillId="37" borderId="17" xfId="0" applyFont="1" applyFill="1" applyBorder="1" applyNumberFormat="1">
      <alignment horizontal="center" vertical="center" wrapText="1"/>
    </xf>
    <xf numFmtId="49" fontId="44" fillId="37" borderId="17" xfId="0" applyFont="1" applyFill="1" applyBorder="1" applyNumberFormat="1">
      <alignment horizontal="center"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top"/>
    </xf>
    <xf numFmtId="0" fontId="45" fillId="37" borderId="26" xfId="0" applyFont="1" applyFill="1" applyBorder="1" applyNumberFormat="1">
      <alignment vertical="top"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49" fontId="34" fillId="40" borderId="15" xfId="0" applyFont="1" applyFill="1" applyBorder="1" applyNumberFormat="1">
      <alignment horizontal="left" vertical="center" wrapText="1"/>
    </xf>
    <xf numFmtId="0" fontId="0" fillId="0" borderId="38" xfId="0" applyFont="1" applyBorder="1" applyNumberFormat="1">
      <alignment horizontal="left" vertical="top"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45" fillId="37" borderId="0" xfId="0" applyFont="1" applyFill="1" applyNumberFormat="1">
      <alignment vertical="top" wrapText="1"/>
    </xf>
    <xf numFmtId="0" fontId="55" fillId="37" borderId="25" xfId="0" applyFont="1" applyFill="1" applyBorder="1" applyNumberFormat="1">
      <alignment horizontal="center" vertical="center" wrapText="1"/>
    </xf>
    <xf numFmtId="14" fontId="23" fillId="43" borderId="25" xfId="0" applyFont="1" applyFill="1" applyBorder="1" applyNumberFormat="1">
      <alignment horizontal="left" vertical="center" wrapText="1"/>
    </xf>
    <xf numFmtId="14" fontId="23" fillId="43" borderId="14" xfId="0" applyFont="1" applyFill="1" applyBorder="1" applyNumberFormat="1">
      <alignment horizontal="center" vertical="center" wrapText="1"/>
    </xf>
    <xf numFmtId="49" fontId="34" fillId="42" borderId="14" xfId="0" applyFont="1" applyFill="1" applyBorder="1" applyNumberFormat="1">
      <alignment horizontal="left" vertical="center" wrapText="1"/>
      <protection locked="0"/>
    </xf>
    <xf numFmtId="49" fontId="36" fillId="40" borderId="17" xfId="0" applyFont="1" applyFill="1" applyBorder="1" applyNumberFormat="1">
      <alignment horizontal="center" vertical="center"/>
    </xf>
    <xf numFmtId="49" fontId="78" fillId="40" borderId="17" xfId="0" applyFont="1" applyFill="1" applyBorder="1" applyNumberFormat="1">
      <alignment horizontal="left" vertical="center" indent="1"/>
    </xf>
    <xf numFmtId="49" fontId="78" fillId="40" borderId="15" xfId="0" applyFont="1" applyFill="1" applyBorder="1" applyNumberFormat="1">
      <alignment horizontal="left" vertical="center" indent="1"/>
    </xf>
    <xf numFmtId="0" fontId="65" fillId="0" borderId="0" xfId="0" applyFont="1" applyNumberFormat="1">
      <alignment vertical="center" wrapText="1"/>
    </xf>
    <xf numFmtId="0" fontId="84" fillId="0" borderId="0" xfId="0" applyFont="1" applyNumberFormat="1">
      <alignment horizontal="center" vertical="center" wrapText="1"/>
    </xf>
    <xf numFmtId="0" fontId="53" fillId="0" borderId="0" xfId="0" applyFont="1" applyNumberFormat="1">
      <alignment vertical="top" wrapText="1"/>
    </xf>
    <xf numFmtId="0" fontId="23" fillId="0" borderId="0" xfId="0" applyFont="1" applyNumberFormat="1">
      <alignment horizontal="right" vertical="top" wrapText="1"/>
    </xf>
    <xf numFmtId="0" fontId="53"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horizontal="left" vertical="center" indent="1"/>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6" xfId="0" applyFont="1" applyBorder="1" applyNumberFormat="1">
      <alignment vertical="top"/>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4" xfId="0" applyFont="1" applyBorder="1" applyNumberFormat="1">
      <alignment horizontal="left" vertical="center" wrapText="1" indent="6"/>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53" fillId="0" borderId="14" xfId="0" applyFont="1" applyBorder="1" applyNumberFormat="1">
      <alignment vertical="top" wrapText="1"/>
    </xf>
    <xf numFmtId="0" fontId="54" fillId="0" borderId="16" xfId="0" applyFont="1" applyBorder="1" applyNumberFormat="1">
      <alignment horizontal="center" vertical="center"/>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indent="1"/>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54" fillId="0" borderId="14" xfId="0" applyFont="1" applyBorder="1" applyNumberFormat="1">
      <alignment horizontal="center" vertical="center" wrapText="1"/>
    </xf>
    <xf numFmtId="0" fontId="54"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54" fillId="0" borderId="16" xfId="0" applyFont="1" applyBorder="1" applyNumberFormat="1">
      <alignment horizontal="center" vertical="center" wrapText="1"/>
    </xf>
    <xf numFmtId="0" fontId="54" fillId="0" borderId="0" xfId="0" applyFont="1" applyNumberFormat="1">
      <alignment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23" fillId="43" borderId="14" xfId="0" applyFont="1" applyFill="1" applyBorder="1" applyNumberFormat="1">
      <alignment horizontal="left" vertical="center" wrapText="1" indent="6"/>
    </xf>
    <xf numFmtId="4" fontId="23" fillId="39" borderId="14" xfId="0" applyFont="1" applyFill="1" applyBorder="1" applyNumberFormat="1">
      <alignment horizontal="right" vertical="center" wrapText="1"/>
      <protection locked="0"/>
    </xf>
    <xf numFmtId="4" fontId="23" fillId="0" borderId="14" xfId="0" applyFont="1" applyBorder="1" applyNumberFormat="1">
      <alignment horizontal="right" vertical="center" wrapText="1"/>
    </xf>
    <xf numFmtId="16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0" fontId="53" fillId="0" borderId="19" xfId="0" applyFont="1" applyBorder="1" applyNumberFormat="1">
      <alignment horizontal="left" vertical="top" wrapText="1"/>
    </xf>
    <xf numFmtId="49" fontId="23" fillId="0" borderId="14" xfId="0" applyFont="1" applyBorder="1" applyNumberFormat="1">
      <alignment horizontal="left" vertical="center" wrapText="1"/>
    </xf>
    <xf numFmtId="4" fontId="55" fillId="0" borderId="14" xfId="0" applyFont="1" applyBorder="1" applyNumberFormat="1">
      <alignment horizontal="center" vertical="center" wrapText="1"/>
    </xf>
    <xf numFmtId="49" fontId="0" fillId="42" borderId="14" xfId="0" applyFont="1" applyFill="1" applyBorder="1" applyNumberFormat="1">
      <alignment horizontal="center" vertical="center" wrapText="1"/>
      <protection locked="0"/>
    </xf>
    <xf numFmtId="0" fontId="53" fillId="0" borderId="38" xfId="0" applyFont="1" applyBorder="1" applyNumberFormat="1">
      <alignment horizontal="left" vertical="top"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6"/>
    </xf>
    <xf numFmtId="49" fontId="23" fillId="40" borderId="15" xfId="0" applyFont="1" applyFill="1" applyBorder="1" applyNumberFormat="1">
      <alignment horizontal="center" vertical="center" wrapText="1"/>
    </xf>
    <xf numFmtId="0" fontId="53" fillId="0" borderId="25" xfId="0" applyFont="1" applyBorder="1" applyNumberFormat="1">
      <alignment horizontal="left" vertical="top" wrapText="1"/>
    </xf>
    <xf numFmtId="49" fontId="48" fillId="40" borderId="17" xfId="0" applyFont="1" applyFill="1" applyBorder="1" applyNumberFormat="1">
      <alignment horizontal="left" vertical="center" indent="5"/>
    </xf>
    <xf numFmtId="49" fontId="0"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49" fontId="47" fillId="0" borderId="0" xfId="0" applyFont="1" applyNumberFormat="1">
      <alignment vertical="top"/>
    </xf>
    <xf numFmtId="49" fontId="48" fillId="40" borderId="17" xfId="0" applyFont="1" applyFill="1" applyBorder="1" applyNumberFormat="1">
      <alignment horizontal="left" vertical="center" indent="4"/>
    </xf>
    <xf numFmtId="0" fontId="55"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49" fontId="23" fillId="0" borderId="0" xfId="0" applyFont="1" applyNumberFormat="1">
      <alignmen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167" fontId="54" fillId="0" borderId="14" xfId="0" applyFont="1" applyBorder="1" applyNumberFormat="1">
      <alignment horizontal="center" vertical="center" wrapText="1"/>
    </xf>
    <xf numFmtId="49" fontId="54" fillId="0" borderId="14" xfId="0" applyFont="1" applyBorder="1" applyNumberFormat="1">
      <alignment horizontal="center"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54" fillId="0" borderId="14" xfId="0" applyFont="1" applyBorder="1" applyNumberFormat="1">
      <alignment vertical="center" wrapText="1"/>
    </xf>
    <xf numFmtId="0" fontId="74" fillId="0" borderId="0" xfId="0" applyFont="1" applyNumberFormat="1">
      <alignment vertical="center" wrapText="1"/>
    </xf>
    <xf numFmtId="0" fontId="54" fillId="0" borderId="0" xfId="0" applyFont="1" applyNumberFormat="1">
      <alignment horizontal="left" vertical="center" wrapText="1"/>
    </xf>
    <xf numFmtId="0" fontId="47"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1" xfId="0" applyFont="1" applyBorder="1" applyNumberFormat="1">
      <alignment horizontal="left" vertical="top" wrapText="1" indent="1"/>
    </xf>
    <xf numFmtId="0" fontId="22" fillId="0" borderId="0" xfId="0" applyFont="1" applyNumberFormat="1">
      <alignment vertical="center" wrapTex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4" fillId="0" borderId="0" xfId="0" applyFont="1" applyNumberFormat="1">
      <alignment vertical="center"/>
    </xf>
    <xf numFmtId="0" fontId="54" fillId="0" borderId="0" xfId="0" applyFont="1" applyNumberFormat="1">
      <alignment horizontal="center" vertical="center"/>
    </xf>
    <xf numFmtId="0" fontId="0" fillId="37" borderId="14" xfId="0" applyFont="1" applyFill="1" applyBorder="1" applyNumberFormat="1">
      <alignment horizontal="right" vertical="center" wrapText="1" indent="1"/>
    </xf>
    <xf numFmtId="0" fontId="0" fillId="0" borderId="17" xfId="0" applyFont="1" applyBorder="1" applyNumberFormat="1">
      <alignment vertical="center"/>
    </xf>
    <xf numFmtId="0" fontId="23" fillId="38" borderId="14" xfId="0" applyFont="1" applyFill="1" applyBorder="1" applyNumberFormat="1">
      <alignment horizontal="left" vertical="center" wrapText="1" indent="1"/>
    </xf>
    <xf numFmtId="0" fontId="23" fillId="0" borderId="0" xfId="0" applyFont="1" applyNumberFormat="1">
      <alignment vertical="center" wrapText="1"/>
    </xf>
    <xf numFmtId="0" fontId="73" fillId="0" borderId="0" xfId="0" applyFont="1" applyNumberFormat="1">
      <alignment vertical="center"/>
    </xf>
    <xf numFmtId="0" fontId="55" fillId="0" borderId="0" xfId="0" applyFont="1" applyNumberFormat="1">
      <alignment vertical="center"/>
    </xf>
    <xf numFmtId="167" fontId="23" fillId="38" borderId="14"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wrapText="1"/>
    </xf>
    <xf numFmtId="0" fontId="23" fillId="37" borderId="29" xfId="0" applyFont="1" applyFill="1" applyBorder="1" applyNumberFormat="1">
      <alignment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19" xfId="0" applyFont="1" applyBorder="1" applyNumberFormat="1">
      <alignmen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0" fontId="23" fillId="0" borderId="38" xfId="0" applyFont="1" applyBorder="1" applyNumberFormat="1">
      <alignment vertical="center" wrapText="1"/>
    </xf>
    <xf numFmtId="0" fontId="23" fillId="0" borderId="19" xfId="0" applyFont="1" applyBorder="1" applyNumberFormat="1">
      <alignment horizontal="center" vertical="center" wrapText="1"/>
    </xf>
    <xf numFmtId="0" fontId="54"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7" xfId="0" applyFont="1" applyBorder="1" applyNumberFormat="1">
      <alignment horizontal="center" vertical="center" wrapText="1"/>
    </xf>
    <xf numFmtId="0" fontId="23" fillId="37" borderId="38" xfId="0" applyFont="1" applyFill="1" applyBorder="1" applyNumberFormat="1">
      <alignment horizontal="center" vertical="center" wrapText="1"/>
    </xf>
    <xf numFmtId="49" fontId="48" fillId="40" borderId="38" xfId="0" applyFont="1" applyFill="1" applyBorder="1" applyNumberFormat="1">
      <alignment horizontal="center" vertical="center" textRotation="90" wrapText="1"/>
    </xf>
    <xf numFmtId="0" fontId="54" fillId="0" borderId="0" xfId="0" applyFont="1" applyNumberFormat="1">
      <alignment vertical="center"/>
    </xf>
    <xf numFmtId="0" fontId="23" fillId="0" borderId="25" xfId="0" applyFont="1" applyBorder="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8" fillId="40" borderId="25" xfId="0" applyFont="1" applyFill="1" applyBorder="1" applyNumberFormat="1">
      <alignment horizontal="center" vertical="center" textRotation="90" wrapText="1"/>
    </xf>
    <xf numFmtId="49" fontId="77" fillId="0" borderId="0" xfId="0" applyFont="1" applyNumberFormat="1">
      <alignment vertical="center" wrapText="1"/>
    </xf>
    <xf numFmtId="0" fontId="111" fillId="37" borderId="0" xfId="0" applyFont="1" applyFill="1" applyNumberFormat="1">
      <alignment vertical="center" wrapText="1"/>
    </xf>
    <xf numFmtId="0" fontId="112" fillId="37" borderId="0" xfId="0" applyFont="1" applyFill="1" applyNumberFormat="1">
      <alignment vertical="center" wrapText="1"/>
    </xf>
    <xf numFmtId="49" fontId="85" fillId="37" borderId="21" xfId="0" applyFont="1" applyFill="1" applyBorder="1" applyNumberFormat="1">
      <alignment horizontal="left" vertical="center" wrapText="1"/>
    </xf>
    <xf numFmtId="49" fontId="85" fillId="37" borderId="21" xfId="0" applyFont="1" applyFill="1" applyBorder="1" applyNumberFormat="1">
      <alignment horizontal="center" vertical="center" wrapText="1"/>
    </xf>
    <xf numFmtId="0" fontId="5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167" fontId="0" fillId="42" borderId="19" xfId="0" applyFont="1" applyFill="1" applyBorder="1" applyNumberFormat="1">
      <alignment horizontal="center" vertical="center" wrapText="1"/>
      <protection locked="0"/>
    </xf>
    <xf numFmtId="4" fontId="23" fillId="0" borderId="19" xfId="0" applyFont="1" applyBorder="1" applyNumberFormat="1">
      <alignment horizontal="right" vertical="center" wrapText="1"/>
    </xf>
    <xf numFmtId="49" fontId="23" fillId="0" borderId="14" xfId="0" applyFont="1" applyBorder="1" applyNumberFormat="1">
      <alignment horizontal="left" vertical="center" wrapText="1"/>
    </xf>
    <xf numFmtId="49" fontId="0" fillId="42" borderId="25" xfId="0" applyFont="1" applyFill="1" applyBorder="1" applyNumberFormat="1">
      <alignment horizontal="center" vertical="center" wrapText="1"/>
      <protection locked="0"/>
    </xf>
    <xf numFmtId="4" fontId="23" fillId="0" borderId="25" xfId="0" applyFont="1" applyBorder="1" applyNumberFormat="1">
      <alignment horizontal="right" vertical="center" wrapText="1"/>
    </xf>
    <xf numFmtId="0" fontId="55" fillId="0" borderId="0" xfId="0" applyFont="1" applyNumberFormat="1">
      <alignment horizontal="left" vertical="center" indent="1"/>
    </xf>
    <xf numFmtId="0" fontId="55" fillId="0" borderId="0" xfId="0" applyFont="1" applyNumberFormat="1">
      <alignment vertical="center" wrapText="1"/>
    </xf>
    <xf numFmtId="0" fontId="55" fillId="0" borderId="0" xfId="0" applyFont="1" applyNumberFormat="1">
      <alignment horizontal="center" vertical="center"/>
    </xf>
    <xf numFmtId="0" fontId="55" fillId="0" borderId="0" xfId="0" applyFont="1" applyNumberFormat="1">
      <alignment vertical="center" wrapText="1"/>
    </xf>
    <xf numFmtId="49" fontId="55" fillId="0" borderId="0" xfId="0" applyFont="1" applyNumberFormat="1">
      <alignment vertical="top"/>
    </xf>
    <xf numFmtId="49" fontId="112"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23" fillId="0" borderId="0" xfId="0" applyFont="1" applyNumberFormat="1">
      <alignment vertical="center" wrapText="1"/>
    </xf>
    <xf numFmtId="0" fontId="47"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0" fontId="23" fillId="0" borderId="14" xfId="0" applyFont="1" applyBorder="1" applyNumberFormat="1">
      <alignment horizontal="center" vertical="center"/>
    </xf>
    <xf numFmtId="0" fontId="23" fillId="0" borderId="0" xfId="0" applyFont="1" applyNumberFormat="1">
      <alignment horizontal="center" vertical="center"/>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0" fontId="23" fillId="37" borderId="14" xfId="0" applyFont="1" applyFill="1" applyBorder="1" applyNumberFormat="1">
      <alignment horizontal="left" vertical="center" wrapText="1" indent="1"/>
    </xf>
    <xf numFmtId="0" fontId="23" fillId="0" borderId="0" xfId="0" applyFont="1" applyNumberFormat="1">
      <alignment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77" fillId="0" borderId="0" xfId="0" applyFont="1" applyNumberFormat="1">
      <alignment horizontal="left" vertical="center" wrapText="1"/>
    </xf>
    <xf numFmtId="0" fontId="77" fillId="0" borderId="0" xfId="0" applyFont="1" applyNumberFormat="1">
      <alignment vertical="center" wrapText="1"/>
    </xf>
    <xf numFmtId="0" fontId="55" fillId="0" borderId="0" xfId="0" applyFont="1" applyNumberFormat="1">
      <alignment vertical="center"/>
    </xf>
    <xf numFmtId="49" fontId="77" fillId="0" borderId="0" xfId="0" applyFont="1" applyNumberFormat="1">
      <alignment horizontal="left" vertical="center"/>
    </xf>
    <xf numFmtId="0" fontId="54"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4"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5" fillId="0" borderId="0" xfId="0" applyFont="1" applyNumberFormat="1">
      <alignment vertical="center" wrapText="1"/>
    </xf>
    <xf numFmtId="0" fontId="23" fillId="0" borderId="19" xfId="0" applyFont="1" applyBorder="1" applyNumberFormat="1">
      <alignment vertical="center" wrapText="1"/>
    </xf>
    <xf numFmtId="0" fontId="0" fillId="0" borderId="14" xfId="0" applyFont="1" applyBorder="1" applyNumberFormat="1">
      <alignment horizontal="center" vertical="center" wrapText="1"/>
    </xf>
    <xf numFmtId="0" fontId="77" fillId="0" borderId="0" xfId="0" applyFont="1" applyNumberFormat="1">
      <alignment vertical="center" wrapText="1"/>
    </xf>
    <xf numFmtId="0" fontId="85" fillId="37" borderId="21" xfId="0" applyFont="1" applyFill="1" applyBorder="1" applyNumberFormat="1">
      <alignment horizontal="center" vertical="center" wrapText="1"/>
    </xf>
    <xf numFmtId="0" fontId="77" fillId="0" borderId="0" xfId="0" applyFont="1" applyNumberFormat="1">
      <alignment horizontal="left" vertical="center" indent="1"/>
    </xf>
    <xf numFmtId="0" fontId="55" fillId="0" borderId="0" xfId="0" applyFont="1" applyNumberFormat="1">
      <alignment vertical="center" wrapText="1"/>
    </xf>
    <xf numFmtId="0" fontId="77"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4" fontId="23" fillId="0" borderId="14" xfId="0" applyFont="1" applyBorder="1" applyNumberFormat="1">
      <alignment horizontal="right" vertical="center" wrapText="1"/>
    </xf>
    <xf numFmtId="0" fontId="0" fillId="37" borderId="21" xfId="0" applyFont="1" applyFill="1" applyBorder="1" applyNumberFormat="1">
      <alignment horizontal="center" vertical="center" wrapText="1"/>
    </xf>
    <xf numFmtId="0" fontId="55"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55" fillId="0" borderId="14" xfId="0" applyFont="1" applyBorder="1" applyNumberFormat="1">
      <alignment vertical="center" wrapText="1"/>
    </xf>
    <xf numFmtId="0" fontId="23" fillId="0" borderId="0" xfId="0" applyFont="1" applyNumberFormat="1">
      <alignment vertical="center"/>
    </xf>
    <xf numFmtId="0" fontId="55" fillId="0" borderId="25" xfId="0" applyFont="1" applyBorder="1" applyNumberFormat="1">
      <alignment horizontal="center" vertical="center" wrapText="1"/>
    </xf>
    <xf numFmtId="0" fontId="23" fillId="0" borderId="32" xfId="0" applyFont="1" applyBorder="1" applyNumberFormat="1">
      <alignment horizontal="center" vertical="center" wrapText="1"/>
    </xf>
    <xf numFmtId="0" fontId="55"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0" xfId="0" applyFont="1" applyFill="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9" fontId="55" fillId="0" borderId="0" xfId="0" applyFont="1" applyNumberFormat="1">
      <alignment vertical="center" wrapText="1"/>
    </xf>
    <xf numFmtId="0" fontId="0" fillId="0" borderId="0" xfId="0" applyFont="1" applyNumberFormat="1">
      <alignment horizontal="left" vertical="top" wrapText="1"/>
    </xf>
    <xf numFmtId="0" fontId="54" fillId="0" borderId="0" xfId="0" applyFont="1" applyNumberFormat="1">
      <alignment vertical="top" wrapText="1"/>
    </xf>
    <xf numFmtId="0" fontId="23" fillId="0" borderId="21" xfId="0" applyFont="1" applyBorder="1" applyNumberFormat="1">
      <alignment horizontal="left" vertical="center" wrapText="1" indent="1"/>
    </xf>
    <xf numFmtId="0" fontId="23" fillId="0" borderId="0" xfId="0" applyFont="1" applyNumberFormat="1">
      <alignment horizontal="left" vertical="center" wrapText="1"/>
    </xf>
    <xf numFmtId="0" fontId="23" fillId="43" borderId="22" xfId="0" applyFont="1" applyFill="1" applyBorder="1" applyNumberFormat="1">
      <alignment horizontal="left" vertical="center" wrapText="1"/>
    </xf>
    <xf numFmtId="0" fontId="23" fillId="0" borderId="0" xfId="0" applyFont="1" applyNumberFormat="1">
      <alignment horizontal="center" vertical="center" wrapText="1"/>
    </xf>
    <xf numFmtId="164" fontId="23" fillId="39" borderId="16" xfId="0" applyFont="1" applyFill="1" applyBorder="1" applyNumberFormat="1">
      <alignment horizontal="right" vertical="center" wrapText="1"/>
      <protection locked="0"/>
    </xf>
    <xf numFmtId="4" fontId="23" fillId="39" borderId="15" xfId="0" applyFont="1" applyFill="1" applyBorder="1" applyNumberFormat="1">
      <alignment horizontal="right" vertical="center" wrapText="1"/>
      <protection locked="0"/>
    </xf>
    <xf numFmtId="0" fontId="53" fillId="0" borderId="19" xfId="0" applyFont="1" applyBorder="1" applyNumberFormat="1">
      <alignment vertical="top" wrapText="1"/>
    </xf>
    <xf numFmtId="0" fontId="23" fillId="39" borderId="14" xfId="0" applyFont="1" applyFill="1" applyBorder="1" applyNumberFormat="1">
      <alignment horizontal="left" vertical="center" wrapText="1" indent="7"/>
      <protection locked="0"/>
    </xf>
    <xf numFmtId="49" fontId="0" fillId="42" borderId="14" xfId="0" applyFont="1" applyFill="1" applyBorder="1" applyNumberFormat="1">
      <alignment horizontal="center" vertical="center" wrapText="1"/>
      <protection locked="0"/>
    </xf>
    <xf numFmtId="4" fontId="55" fillId="0" borderId="16" xfId="0" applyFont="1" applyBorder="1" applyNumberFormat="1">
      <alignment horizontal="center" vertical="center" wrapText="1"/>
    </xf>
    <xf numFmtId="4" fontId="23" fillId="0" borderId="15" xfId="0" applyFont="1" applyBorder="1" applyNumberFormat="1">
      <alignment horizontal="right" vertical="center" wrapText="1"/>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14" xfId="0" applyFont="1" applyBorder="1" applyNumberFormat="1">
      <alignment horizontal="left" vertical="center" wrapText="1" indent="5"/>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45"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23" fillId="0" borderId="14" xfId="0" applyFont="1" applyBorder="1" applyNumberFormat="1">
      <alignment horizontal="left" vertical="center" wrapText="1" indent="4"/>
    </xf>
    <xf numFmtId="49" fontId="23" fillId="37" borderId="14" xfId="0" applyFont="1" applyFill="1" applyBorder="1" applyNumberFormat="1">
      <alignment horizontal="center" vertical="center" wrapText="1"/>
    </xf>
    <xf numFmtId="0" fontId="23" fillId="43" borderId="14" xfId="0" applyFont="1" applyFill="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0" fontId="23" fillId="37" borderId="38" xfId="0" applyFont="1" applyFill="1" applyBorder="1" applyNumberFormat="1">
      <alignment horizontal="left" vertical="center" wrapText="1"/>
    </xf>
    <xf numFmtId="49" fontId="23" fillId="42" borderId="38" xfId="0" applyFont="1" applyFill="1" applyBorder="1" applyNumberFormat="1">
      <alignment horizontal="left" vertical="center" wrapText="1" indent="6"/>
      <protection locked="0"/>
    </xf>
    <xf numFmtId="164" fontId="23" fillId="40" borderId="15" xfId="0" applyFont="1" applyFill="1" applyBorder="1" applyNumberFormat="1">
      <alignment horizontal="right" vertical="center" wrapText="1"/>
    </xf>
    <xf numFmtId="49" fontId="48" fillId="40" borderId="16" xfId="0" applyFont="1" applyFill="1" applyBorder="1" applyNumberFormat="1">
      <alignment horizontal="left" vertical="center"/>
    </xf>
    <xf numFmtId="164" fontId="23" fillId="40" borderId="17" xfId="0" applyFont="1" applyFill="1" applyBorder="1" applyNumberFormat="1">
      <alignment horizontal="right" vertical="center" wrapText="1"/>
    </xf>
    <xf numFmtId="4" fontId="23" fillId="0" borderId="38" xfId="0" applyFont="1" applyBorder="1" applyNumberFormat="1">
      <alignment horizontal="right" vertical="center" wrapText="1"/>
    </xf>
    <xf numFmtId="49" fontId="48" fillId="40" borderId="16" xfId="0" applyFont="1" applyFill="1" applyBorder="1" applyNumberFormat="1">
      <alignment horizontal="left" vertical="center" indent="1"/>
    </xf>
    <xf numFmtId="0" fontId="23" fillId="37" borderId="25" xfId="0" applyFont="1" applyFill="1" applyBorder="1" applyNumberFormat="1">
      <alignment horizontal="left" vertical="center" wrapText="1"/>
    </xf>
    <xf numFmtId="49" fontId="23" fillId="42" borderId="25" xfId="0" applyFont="1" applyFill="1" applyBorder="1" applyNumberFormat="1">
      <alignment horizontal="left" vertical="center" wrapText="1" indent="6"/>
      <protection locked="0"/>
    </xf>
    <xf numFmtId="4" fontId="55" fillId="40" borderId="15" xfId="0" applyFont="1" applyFill="1" applyBorder="1" applyNumberFormat="1">
      <alignment horizontal="center"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55" fillId="0" borderId="26" xfId="0" applyFont="1" applyBorder="1" applyNumberFormat="1">
      <alignment vertical="top"/>
    </xf>
    <xf numFmtId="0" fontId="116" fillId="0" borderId="0" xfId="0" applyFont="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26"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7"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4" fillId="0" borderId="0" xfId="0" applyFont="1" applyNumberFormat="1">
      <alignment horizontal="left" vertical="center"/>
    </xf>
    <xf numFmtId="0" fontId="55" fillId="0" borderId="0" xfId="0" applyFont="1" applyNumberFormat="1">
      <alignment horizontal="left" vertical="center"/>
    </xf>
    <xf numFmtId="0" fontId="74" fillId="37" borderId="0" xfId="0" applyFont="1" applyFill="1" applyNumberFormat="1">
      <alignment vertical="center" wrapText="1"/>
    </xf>
    <xf numFmtId="0" fontId="23" fillId="37" borderId="3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6"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14" xfId="0" applyFont="1" applyBorder="1" applyNumberFormat="1">
      <alignment horizontal="left" vertical="center" wrapText="1" indent="1"/>
    </xf>
    <xf numFmtId="0" fontId="23" fillId="0" borderId="14" xfId="0" applyFont="1" applyBorder="1" applyNumberFormat="1">
      <alignment horizontal="left" vertical="center" wrapText="1" indent="1"/>
    </xf>
    <xf numFmtId="49" fontId="23" fillId="40" borderId="16" xfId="0" applyFont="1" applyFill="1" applyBorder="1" applyNumberFormat="1">
      <alignment horizontal="center" vertical="center" wrapText="1"/>
    </xf>
    <xf numFmtId="49" fontId="77" fillId="0" borderId="26" xfId="0" applyFont="1" applyBorder="1" applyNumberFormat="1">
      <alignment vertical="top"/>
    </xf>
    <xf numFmtId="0" fontId="23" fillId="0" borderId="0" xfId="0" applyFont="1" applyNumberFormat="1">
      <alignment horizontal="left" vertical="top" wrapText="1"/>
    </xf>
    <xf numFmtId="0" fontId="74"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49" fontId="48" fillId="40" borderId="17" xfId="0" applyFont="1" applyFill="1" applyBorder="1" applyNumberFormat="1">
      <alignment horizontal="left" vertical="center" indent="3"/>
    </xf>
    <xf numFmtId="0" fontId="55" fillId="0" borderId="0" xfId="0" applyFont="1" applyNumberFormat="1">
      <alignment horizontal="center" vertical="center"/>
    </xf>
    <xf numFmtId="0" fontId="54" fillId="0" borderId="0" xfId="0" applyFont="1" applyNumberFormat="1">
      <alignment horizontal="center" vertical="center" wrapText="1"/>
    </xf>
    <xf numFmtId="0" fontId="115" fillId="0" borderId="0" xfId="0" applyFont="1" applyNumberFormat="1">
      <alignment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8" borderId="17" xfId="0" applyFont="1" applyFill="1" applyBorder="1" applyNumberFormat="1">
      <alignment horizontal="left" vertical="center" wrapText="1"/>
    </xf>
    <xf numFmtId="0" fontId="54" fillId="0" borderId="0" xfId="0" applyFont="1" applyNumberFormat="1">
      <alignment horizontal="center" vertical="center" wrapText="1"/>
    </xf>
    <xf numFmtId="0" fontId="55" fillId="0" borderId="17" xfId="0" applyFont="1" applyBorder="1" applyNumberFormat="1">
      <alignment horizontal="left" vertical="center" wrapText="1"/>
    </xf>
    <xf numFmtId="49" fontId="23" fillId="43" borderId="14" xfId="0" applyFont="1" applyFill="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23" fillId="43" borderId="17"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77"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5" fillId="0" borderId="29" xfId="0" applyFont="1" applyBorder="1" applyNumberFormat="1">
      <alignment horizontal="center" vertical="center" wrapText="1"/>
    </xf>
    <xf numFmtId="0" fontId="23" fillId="42" borderId="15"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0" fontId="55" fillId="0" borderId="0" xfId="0" applyFont="1" applyNumberFormat="1">
      <alignment horizontal="center" vertical="center" wrapText="1"/>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23" fillId="39" borderId="38" xfId="0" applyFont="1" applyFill="1" applyBorder="1" applyNumberFormat="1">
      <alignment horizontal="left" vertical="center" wrapText="1" indent="6"/>
      <protection locked="0"/>
    </xf>
    <xf numFmtId="49" fontId="23" fillId="43" borderId="31" xfId="0" applyFont="1" applyFill="1" applyBorder="1" applyNumberFormat="1">
      <alignment horizontal="center" vertical="center" wrapText="1"/>
    </xf>
    <xf numFmtId="49" fontId="48" fillId="40" borderId="29" xfId="0" applyFont="1" applyFill="1" applyBorder="1" applyNumberFormat="1">
      <alignment horizontal="left" vertical="center"/>
    </xf>
    <xf numFmtId="49" fontId="23" fillId="39" borderId="25" xfId="0" applyFont="1" applyFill="1" applyBorder="1" applyNumberFormat="1">
      <alignment horizontal="left" vertical="center" wrapText="1" indent="6"/>
      <protection locked="0"/>
    </xf>
    <xf numFmtId="0" fontId="55" fillId="0" borderId="0" xfId="0" applyFont="1" applyNumberFormat="1">
      <alignment horizontal="center" vertical="center"/>
    </xf>
    <xf numFmtId="0" fontId="55" fillId="0" borderId="0" xfId="0" applyFont="1" applyNumberFormat="1">
      <alignment horizontal="left" vertical="center" wrapText="1" indent="1"/>
    </xf>
    <xf numFmtId="0" fontId="23" fillId="37" borderId="14" xfId="0" applyFont="1" applyFill="1" applyBorder="1" applyNumberFormat="1">
      <alignment horizontal="center" vertical="center" wrapText="1"/>
    </xf>
    <xf numFmtId="0" fontId="55" fillId="0" borderId="21" xfId="0" applyFont="1" applyBorder="1" applyNumberFormat="1">
      <alignment horizontal="lef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49" fontId="23" fillId="43"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55" fillId="0" borderId="14" xfId="0" applyFont="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center" wrapText="1"/>
    </xf>
    <xf numFmtId="0" fontId="23" fillId="0" borderId="0" xfId="0" applyFont="1" applyNumberFormat="1">
      <alignment vertical="center" wrapText="1"/>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4" fontId="23" fillId="0" borderId="14" xfId="0" applyFont="1" applyBorder="1" applyNumberFormat="1">
      <alignment horizontal="right" vertical="center" wrapText="1"/>
    </xf>
    <xf numFmtId="49" fontId="0" fillId="42" borderId="14" xfId="0" applyFont="1" applyFill="1" applyBorder="1" applyNumberFormat="1">
      <alignment horizontal="center" vertical="center" wrapText="1"/>
      <protection locked="0"/>
    </xf>
    <xf numFmtId="4" fontId="23" fillId="0" borderId="14" xfId="0" applyFont="1" applyBorder="1" applyNumberFormat="1">
      <alignment horizontal="right" vertical="center" wrapText="1"/>
    </xf>
    <xf numFmtId="49" fontId="0" fillId="42" borderId="14"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center" vertical="center" wrapText="1"/>
    </xf>
    <xf numFmtId="0" fontId="54" fillId="0" borderId="0" xfId="0" applyFont="1" applyNumberFormat="1">
      <alignment vertical="center" wrapText="1"/>
    </xf>
    <xf numFmtId="49" fontId="54" fillId="0" borderId="14" xfId="0" applyFont="1" applyBorder="1" applyNumberFormat="1">
      <alignment vertical="center" wrapText="1"/>
    </xf>
    <xf numFmtId="0" fontId="54" fillId="0" borderId="0" xfId="0" applyFont="1" applyNumberFormat="1">
      <alignment vertical="center" wrapText="1"/>
    </xf>
    <xf numFmtId="49" fontId="54" fillId="0" borderId="14" xfId="0" applyFont="1" applyBorder="1" applyNumberFormat="1">
      <alignment vertical="center" wrapText="1"/>
    </xf>
    <xf numFmtId="0" fontId="54" fillId="0" borderId="0" xfId="0" applyFont="1" applyNumberFormat="1">
      <alignment vertical="center"/>
    </xf>
    <xf numFmtId="0" fontId="54" fillId="0" borderId="0" xfId="0" applyFont="1" applyNumberFormat="1">
      <alignment vertical="center"/>
    </xf>
    <xf numFmtId="0" fontId="23" fillId="0" borderId="21" xfId="0" applyFont="1" applyBorder="1" applyNumberFormat="1">
      <alignment horizontal="left" vertical="top" wrapText="1" indent="1"/>
    </xf>
    <xf numFmtId="0" fontId="23" fillId="0" borderId="21" xfId="0" applyFont="1" applyBorder="1" applyNumberFormat="1">
      <alignment horizontal="left" vertical="top" wrapText="1" indent="1"/>
    </xf>
    <xf numFmtId="0" fontId="23" fillId="0" borderId="29" xfId="0" applyFont="1" applyBorder="1" applyNumberFormat="1">
      <alignment horizontal="left" vertical="center" wrapText="1" inden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36" fillId="37" borderId="0" xfId="0" applyFont="1" applyFill="1" applyNumberFormat="1">
      <alignment horizontal="center" vertical="center" wrapText="1"/>
    </xf>
    <xf numFmtId="0" fontId="23" fillId="38" borderId="14" xfId="0" applyFont="1" applyFill="1" applyBorder="1" applyNumberFormat="1">
      <alignment horizontal="left" vertical="center" wrapText="1" indent="1"/>
    </xf>
    <xf numFmtId="0" fontId="23" fillId="38" borderId="14" xfId="0" applyFont="1" applyFill="1" applyBorder="1" applyNumberFormat="1">
      <alignment horizontal="left" vertical="center" wrapText="1" indent="1"/>
    </xf>
    <xf numFmtId="167" fontId="23" fillId="38" borderId="14" xfId="0" applyFont="1" applyFill="1" applyBorder="1" applyNumberFormat="1">
      <alignment horizontal="left" vertical="center" wrapText="1" indent="1"/>
    </xf>
    <xf numFmtId="167" fontId="23" fillId="38" borderId="14" xfId="0" applyFont="1" applyFill="1" applyBorder="1" applyNumberFormat="1">
      <alignment horizontal="left" vertical="center" wrapText="1" indent="1"/>
    </xf>
    <xf numFmtId="0" fontId="55" fillId="0" borderId="0" xfId="0" applyFont="1" applyNumberFormat="1">
      <alignment vertical="center" wrapText="1"/>
    </xf>
    <xf numFmtId="0" fontId="55" fillId="0" borderId="0" xfId="0" applyFont="1" applyNumberFormat="1">
      <alignment vertical="center" wrapText="1"/>
    </xf>
    <xf numFmtId="0" fontId="45" fillId="0" borderId="29" xfId="0" applyFont="1" applyBorder="1" applyNumberFormat="1">
      <alignment horizontal="center" vertical="center" wrapText="1"/>
    </xf>
    <xf numFmtId="0" fontId="45" fillId="0" borderId="29"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23"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23" fillId="0" borderId="39"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37" borderId="38"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23" fillId="0" borderId="39"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37" borderId="38" xfId="0" applyFont="1" applyFill="1" applyBorder="1" applyNumberFormat="1">
      <alignment horizontal="center" vertical="center" wrapText="1"/>
    </xf>
    <xf numFmtId="0" fontId="54" fillId="0" borderId="0" xfId="0" applyFont="1" applyNumberFormat="1">
      <alignment horizontal="center" vertical="center" wrapText="1"/>
    </xf>
    <xf numFmtId="0" fontId="23" fillId="0" borderId="32"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0" xfId="0" applyFont="1" applyFill="1" applyNumberFormat="1">
      <alignment horizontal="center" vertical="center" wrapText="1"/>
    </xf>
    <xf numFmtId="0" fontId="85" fillId="37" borderId="21" xfId="0" applyFont="1" applyFill="1" applyBorder="1" applyNumberFormat="1">
      <alignment horizontal="center" vertical="center" wrapText="1"/>
    </xf>
    <xf numFmtId="0" fontId="85" fillId="37" borderId="0" xfId="0" applyFont="1" applyFill="1" applyNumberFormat="1">
      <alignment horizontal="center" vertical="center" wrapText="1"/>
    </xf>
    <xf numFmtId="167" fontId="0" fillId="42" borderId="19" xfId="0" applyFont="1" applyFill="1" applyBorder="1" applyNumberFormat="1">
      <alignment horizontal="center" vertical="center" wrapText="1"/>
      <protection locked="0"/>
    </xf>
    <xf numFmtId="167" fontId="0" fillId="42" borderId="19" xfId="0" applyFont="1" applyFill="1" applyBorder="1" applyNumberFormat="1">
      <alignment horizontal="center" vertical="center" wrapText="1"/>
      <protection locked="0"/>
    </xf>
    <xf numFmtId="49" fontId="0" fillId="42" borderId="25" xfId="0" applyFont="1" applyFill="1" applyBorder="1" applyNumberFormat="1">
      <alignment horizontal="center" vertical="center" wrapText="1"/>
      <protection locked="0"/>
    </xf>
    <xf numFmtId="49" fontId="0" fillId="42" borderId="25"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0" fillId="0" borderId="0" xfId="0" applyFont="1" applyNumberFormat="1">
      <alignment vertical="top"/>
    </xf>
    <xf numFmtId="0" fontId="54" fillId="0" borderId="0" xfId="0" applyFont="1" applyNumberFormat="1">
      <alignment horizontal="left" vertical="center" indent="1"/>
    </xf>
    <xf numFmtId="0" fontId="54" fillId="0" borderId="16" xfId="0" applyFont="1" applyBorder="1" applyNumberFormat="1">
      <alignment horizontal="center" vertical="center"/>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xf>
    <xf numFmtId="0" fontId="23" fillId="37" borderId="14" xfId="0" applyFont="1" applyFill="1" applyBorder="1" applyNumberFormat="1">
      <alignment horizontal="left" vertical="center" wrapText="1" indent="1"/>
    </xf>
    <xf numFmtId="0" fontId="23" fillId="0" borderId="14" xfId="0" applyFont="1" applyBorder="1" applyNumberFormat="1">
      <alignment horizontal="left" vertical="center" wrapText="1" indent="6"/>
    </xf>
    <xf numFmtId="0" fontId="53" fillId="0" borderId="14" xfId="0" applyFont="1" applyBorder="1" applyNumberFormat="1">
      <alignment vertical="top" wrapText="1"/>
    </xf>
    <xf numFmtId="0" fontId="55" fillId="0" borderId="0" xfId="0" applyFont="1" applyNumberFormat="1">
      <alignment vertical="center"/>
    </xf>
    <xf numFmtId="49" fontId="0" fillId="0" borderId="0" xfId="0" applyFont="1" applyNumberFormat="1">
      <alignment vertical="top"/>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49" fontId="0" fillId="0" borderId="0" xfId="0" applyFont="1" applyNumberFormat="1">
      <alignment vertical="top"/>
    </xf>
    <xf numFmtId="0" fontId="54" fillId="0" borderId="14" xfId="0" applyFont="1" applyBorder="1" applyNumberFormat="1">
      <alignment horizontal="center" vertical="center" wrapText="1"/>
    </xf>
    <xf numFmtId="49" fontId="54" fillId="0" borderId="0" xfId="0" applyFont="1" applyNumberFormat="1">
      <alignment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0" fillId="0" borderId="0" xfId="0" applyFont="1" applyNumberFormat="1">
      <alignment vertical="top"/>
    </xf>
    <xf numFmtId="0" fontId="54" fillId="0" borderId="16" xfId="0" applyFont="1" applyBorder="1" applyNumberFormat="1">
      <alignment horizontal="center"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53" fillId="0" borderId="19" xfId="0" applyFont="1" applyBorder="1" applyNumberFormat="1">
      <alignment vertical="top" wrapText="1"/>
    </xf>
    <xf numFmtId="49" fontId="0" fillId="0" borderId="0" xfId="0" applyFont="1" applyNumberFormat="1">
      <alignment vertical="top"/>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0" fillId="0" borderId="0" xfId="0" applyFont="1" applyNumberFormat="1">
      <alignment vertical="top"/>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23" fillId="0" borderId="0" xfId="0" applyFont="1" applyNumberFormat="1">
      <alignment vertical="top"/>
    </xf>
    <xf numFmtId="49" fontId="47" fillId="0" borderId="0" xfId="0" applyFont="1" applyNumberFormat="1">
      <alignment vertical="top"/>
    </xf>
    <xf numFmtId="49" fontId="23" fillId="0" borderId="26" xfId="0" applyFont="1" applyBorder="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49" fontId="55" fillId="0" borderId="0" xfId="0" applyFont="1" applyNumberFormat="1">
      <alignment horizontal="left" vertical="center"/>
    </xf>
    <xf numFmtId="49" fontId="55" fillId="0" borderId="0" xfId="0" applyFont="1" applyNumberFormat="1">
      <alignment vertical="top"/>
    </xf>
    <xf numFmtId="49" fontId="112" fillId="0" borderId="0" xfId="0" applyFont="1" applyNumberFormat="1">
      <alignment vertical="top"/>
    </xf>
    <xf numFmtId="49" fontId="102" fillId="0" borderId="0" xfId="0" applyFont="1" applyNumberFormat="1">
      <alignment horizontal="left" vertical="center"/>
    </xf>
    <xf numFmtId="49" fontId="55" fillId="0" borderId="0" xfId="0" applyFont="1" applyNumberFormat="1">
      <alignment horizontal="left" vertical="center" inden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49" fontId="0" fillId="0" borderId="0" xfId="0" applyFont="1" applyNumberFormat="1">
      <alignment vertical="top"/>
    </xf>
    <xf numFmtId="49" fontId="23" fillId="0" borderId="0" xfId="0" applyFont="1" applyNumberFormat="1">
      <alignment vertical="center" wrapText="1"/>
    </xf>
    <xf numFmtId="0" fontId="23" fillId="0" borderId="14" xfId="0" applyFont="1" applyBorder="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0" fontId="6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0" fontId="68" fillId="0" borderId="0" xfId="0" applyFont="1" applyNumberFormat="1">
      <alignment vertical="center" wrapText="1"/>
    </xf>
    <xf numFmtId="0" fontId="23" fillId="0" borderId="0" xfId="0" applyFont="1" applyNumberFormat="1">
      <alignment horizontal="left" vertical="top" wrapText="1"/>
    </xf>
    <xf numFmtId="0" fontId="23" fillId="0" borderId="0" xfId="0" applyFont="1" applyNumberFormat="1">
      <alignment horizontal="left" vertical="top" wrapText="1"/>
    </xf>
    <xf numFmtId="49" fontId="0" fillId="0" borderId="0" xfId="0" applyFont="1" applyNumberFormat="1">
      <alignment vertical="top"/>
    </xf>
    <xf numFmtId="0" fontId="54" fillId="0" borderId="0" xfId="0" applyFont="1" applyNumberFormat="1">
      <alignment horizontal="center" vertical="center" wrapText="1"/>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49"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0" fontId="23" fillId="0" borderId="14" xfId="0" applyFont="1" applyBorder="1" applyNumberFormat="1">
      <alignment horizontal="center" vertical="center" wrapText="1"/>
    </xf>
    <xf numFmtId="0" fontId="23" fillId="0" borderId="14" xfId="0" applyFont="1" applyBorder="1" applyNumberFormat="1">
      <alignment vertical="center" wrapText="1"/>
    </xf>
    <xf numFmtId="0" fontId="89" fillId="0" borderId="0" xfId="0" applyFont="1" applyNumberFormat="1">
      <alignment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4" fontId="23" fillId="39" borderId="14" xfId="0" applyFont="1" applyFill="1" applyBorder="1" applyNumberFormat="1">
      <alignment horizontal="right" vertical="center" wrapText="1"/>
      <protection locked="0"/>
    </xf>
    <xf numFmtId="0" fontId="23" fillId="39" borderId="14" xfId="0" applyFont="1" applyFill="1" applyBorder="1" applyNumberFormat="1">
      <alignment horizontal="left" vertical="center" wrapText="1"/>
      <protection locked="0"/>
    </xf>
    <xf numFmtId="49" fontId="96" fillId="0" borderId="0" xfId="0" applyFont="1" applyNumberFormat="1">
      <alignment horizontal="center" vertical="center" wrapText="1"/>
    </xf>
    <xf numFmtId="49" fontId="23" fillId="0" borderId="0" xfId="0" applyFont="1" applyNumberFormat="1">
      <alignment horizontal="center" vertical="top" wrapText="1"/>
    </xf>
    <xf numFmtId="0" fontId="23" fillId="0" borderId="14" xfId="0" applyFont="1" applyBorder="1" applyNumberFormat="1">
      <alignment horizontal="center" vertical="center" wrapText="1"/>
    </xf>
    <xf numFmtId="0" fontId="23" fillId="0" borderId="15" xfId="0" applyFont="1" applyBorder="1" applyNumberFormat="1">
      <alignment vertical="top" wrapText="1"/>
    </xf>
    <xf numFmtId="0" fontId="59" fillId="0" borderId="0" xfId="0" applyFont="1" applyNumberFormat="1">
      <alignment vertical="center" wrapText="1"/>
    </xf>
    <xf numFmtId="0" fontId="23" fillId="0" borderId="15" xfId="0" applyFont="1" applyBorder="1" applyNumberFormat="1">
      <alignment horizontal="center" vertical="center" wrapText="1"/>
    </xf>
    <xf numFmtId="166" fontId="23" fillId="39" borderId="14" xfId="0" applyFont="1" applyFill="1" applyBorder="1" applyNumberFormat="1">
      <alignment horizontal="right" vertical="center" wrapText="1"/>
      <protection locked="0"/>
    </xf>
    <xf numFmtId="0" fontId="23" fillId="0" borderId="22" xfId="0" applyFont="1" applyBorder="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2" fillId="37" borderId="0" xfId="0" applyFont="1" applyFill="1" applyNumberFormat="1">
      <alignment horizontal="right" vertical="center"/>
    </xf>
    <xf numFmtId="0" fontId="23" fillId="0" borderId="16" xfId="0" applyFont="1" applyBorder="1" applyNumberFormat="1">
      <alignment vertical="center"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0" fontId="45" fillId="0" borderId="0" xfId="0" applyFont="1" applyNumberFormat="1">
      <alignment horizontal="center" vertical="center" wrapText="1"/>
    </xf>
    <xf numFmtId="49" fontId="23" fillId="40" borderId="16" xfId="0" applyFont="1" applyFill="1" applyBorder="1" applyNumberFormat="1">
      <alignment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14" xfId="0" applyFont="1" applyBorder="1" applyNumberFormat="1">
      <alignment horizontal="left" vertical="center" wrapText="1" indent="2"/>
    </xf>
    <xf numFmtId="14" fontId="23" fillId="0" borderId="0" xfId="0" applyFont="1" applyNumberFormat="1">
      <alignment horizontal="center" vertical="center" wrapText="1"/>
    </xf>
    <xf numFmtId="49" fontId="96" fillId="48" borderId="0" xfId="0" applyFont="1" applyFill="1" applyNumberFormat="1">
      <alignment horizontal="center" vertical="center" wrapText="1"/>
    </xf>
    <xf numFmtId="49" fontId="36" fillId="0" borderId="0" xfId="0" applyFont="1" applyNumberFormat="1">
      <alignment horizontal="center" vertical="center"/>
    </xf>
    <xf numFmtId="166" fontId="23" fillId="42" borderId="14" xfId="0" applyFont="1" applyFill="1" applyBorder="1" applyNumberFormat="1">
      <alignment horizontal="right" vertical="center" wrapText="1"/>
      <protection locked="0"/>
    </xf>
    <xf numFmtId="0" fontId="54" fillId="0" borderId="0" xfId="0" applyFont="1" applyNumberFormat="1">
      <alignment horizontal="left" vertical="center" wrapText="1"/>
    </xf>
    <xf numFmtId="49" fontId="96" fillId="0" borderId="0" xfId="0" applyFont="1" applyNumberFormat="1">
      <alignment horizontal="left" vertical="center" wrapText="1"/>
    </xf>
    <xf numFmtId="0" fontId="55" fillId="0" borderId="0" xfId="0" applyFont="1" applyNumberFormat="1">
      <alignment horizontal="left" vertical="center" wrapText="1"/>
    </xf>
    <xf numFmtId="49" fontId="23"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43" borderId="14" xfId="0" applyFont="1" applyFill="1" applyBorder="1" applyNumberFormat="1">
      <alignment horizontal="left" vertical="center" wrapText="1"/>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4" fontId="23" fillId="42" borderId="15" xfId="0" applyFont="1" applyFill="1" applyBorder="1" applyNumberFormat="1">
      <alignment horizontal="right" vertical="center" wrapText="1"/>
      <protection locked="0"/>
    </xf>
    <xf numFmtId="49" fontId="34" fillId="39" borderId="15" xfId="0" applyFont="1" applyFill="1" applyBorder="1" applyNumberFormat="1">
      <alignment horizontal="left" vertical="center" wrapText="1"/>
      <protection locked="0"/>
    </xf>
    <xf numFmtId="49" fontId="34" fillId="39" borderId="14" xfId="0" applyFont="1" applyFill="1" applyBorder="1" applyNumberFormat="1">
      <alignment horizontal="left" vertical="center" wrapText="1"/>
      <protection locked="0"/>
    </xf>
    <xf numFmtId="0" fontId="54" fillId="0" borderId="0" xfId="0" applyFont="1" applyNumberFormat="1">
      <alignment vertical="center" wrapText="1"/>
    </xf>
    <xf numFmtId="0" fontId="55" fillId="0" borderId="0" xfId="0" applyFont="1" applyNumberFormat="1">
      <alignment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166" fontId="23" fillId="42" borderId="15" xfId="0" applyFont="1" applyFill="1" applyBorder="1" applyNumberFormat="1">
      <alignment horizontal="right" vertical="center" wrapText="1"/>
      <protection locked="0"/>
    </xf>
    <xf numFmtId="0" fontId="89"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4" fillId="0" borderId="0" xfId="0" applyFont="1" applyNumberFormat="1">
      <alignment vertical="center" wrapText="1"/>
    </xf>
    <xf numFmtId="166" fontId="23" fillId="38" borderId="15" xfId="0" applyFont="1" applyFill="1" applyBorder="1" applyNumberFormat="1">
      <alignment horizontal="right" vertical="center" wrapText="1"/>
    </xf>
    <xf numFmtId="166" fontId="23" fillId="38" borderId="14" xfId="0" applyFont="1" applyFill="1" applyBorder="1" applyNumberFormat="1">
      <alignment horizontal="right" vertical="center" wrapText="1"/>
    </xf>
    <xf numFmtId="49" fontId="96" fillId="48" borderId="0" xfId="0" applyFont="1" applyFill="1" applyNumberFormat="1">
      <alignment horizontal="center" vertical="center" textRotation="90" wrapText="1"/>
    </xf>
    <xf numFmtId="0" fontId="23" fillId="42" borderId="14" xfId="0" applyFont="1" applyFill="1" applyBorder="1" applyNumberFormat="1">
      <alignment horizontal="center" vertical="center" wrapText="1"/>
      <protection locked="0"/>
    </xf>
    <xf numFmtId="4" fontId="23" fillId="42" borderId="31"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166" fontId="23" fillId="42" borderId="19" xfId="0" applyFont="1" applyFill="1" applyBorder="1" applyNumberFormat="1">
      <alignment horizontal="right" vertical="center" wrapText="1"/>
      <protection locked="0"/>
    </xf>
    <xf numFmtId="0" fontId="55" fillId="0" borderId="25" xfId="0" applyFont="1" applyBorder="1" applyNumberFormat="1">
      <alignment horizontal="left" vertical="center" wrapText="1" indent="1"/>
    </xf>
    <xf numFmtId="0" fontId="55" fillId="0" borderId="19" xfId="0" applyFont="1" applyBorder="1" applyNumberFormat="1">
      <alignment horizontal="center" vertical="center" wrapText="1"/>
    </xf>
    <xf numFmtId="0" fontId="45" fillId="0" borderId="0" xfId="0" applyFont="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25" xfId="0" applyFont="1" applyBorder="1" applyNumberFormat="1">
      <alignment vertical="top" wrapText="1"/>
    </xf>
    <xf numFmtId="0" fontId="55" fillId="0" borderId="19" xfId="0" applyFont="1" applyBorder="1" applyNumberFormat="1">
      <alignment horizontal="left" vertical="center" wrapText="1" indent="1"/>
    </xf>
    <xf numFmtId="49" fontId="34" fillId="39" borderId="14"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9" fillId="0" borderId="0" xfId="0" applyFont="1" applyNumberFormat="1">
      <alignment vertical="center"/>
    </xf>
    <xf numFmtId="0" fontId="96" fillId="0" borderId="0" xfId="0" applyFont="1" applyNumberFormat="1">
      <alignment vertical="center" wrapText="1"/>
    </xf>
    <xf numFmtId="49" fontId="96" fillId="0" borderId="0" xfId="0" applyFont="1" applyNumberFormat="1">
      <alignment horizontal="center" vertical="center" wrapText="1"/>
    </xf>
    <xf numFmtId="0" fontId="23" fillId="0" borderId="0" xfId="0" applyFont="1" applyNumberFormat="1">
      <alignment vertical="center" wrapText="1"/>
    </xf>
    <xf numFmtId="0" fontId="59" fillId="0" borderId="0" xfId="0" applyFont="1" applyNumberFormat="1">
      <alignment vertical="center" wrapText="1"/>
    </xf>
    <xf numFmtId="0" fontId="23" fillId="0" borderId="21" xfId="0" applyFont="1" applyBorder="1" applyNumberFormat="1">
      <alignment vertical="center" wrapText="1"/>
    </xf>
    <xf numFmtId="0" fontId="23" fillId="0" borderId="0" xfId="0" applyFont="1" applyNumberFormat="1">
      <alignment horizontal="center" vertical="center" wrapText="1"/>
    </xf>
    <xf numFmtId="49" fontId="40" fillId="0" borderId="0" xfId="0" applyFont="1" applyNumberFormat="1">
      <alignment horizontal="center" vertical="center" wrapText="1"/>
    </xf>
    <xf numFmtId="0" fontId="23" fillId="0" borderId="29" xfId="0" applyFont="1" applyBorder="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36" fillId="0" borderId="0" xfId="0" applyFont="1" applyNumberFormat="1">
      <alignment horizontal="center" vertical="center" wrapText="1"/>
    </xf>
    <xf numFmtId="49" fontId="68" fillId="0" borderId="0" xfId="0" applyFont="1" applyNumberFormat="1">
      <alignment horizontal="center" vertical="center" wrapText="1"/>
    </xf>
    <xf numFmtId="0" fontId="77" fillId="0" borderId="0" xfId="0" applyFont="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68" fillId="0" borderId="0" xfId="0" applyFont="1" applyNumberFormat="1">
      <alignment vertical="center" wrapText="1"/>
    </xf>
    <xf numFmtId="0" fontId="76" fillId="0" borderId="0" xfId="0" applyFont="1" applyNumberFormat="1">
      <alignment vertical="center" wrapText="1"/>
    </xf>
    <xf numFmtId="0" fontId="23" fillId="0" borderId="14" xfId="0" applyFont="1" applyBorder="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center" vertical="center" wrapText="1"/>
    </xf>
    <xf numFmtId="0" fontId="23" fillId="0" borderId="0" xfId="0" applyFont="1" applyNumberFormat="1">
      <alignment vertical="center" wrapText="1"/>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19" xfId="0" applyFont="1" applyBorder="1" applyNumberFormat="1">
      <alignment horizontal="center" vertical="center" wrapText="1"/>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38" borderId="14" xfId="0" applyFont="1" applyFill="1" applyBorder="1" applyNumberFormat="1">
      <alignment horizontal="left" vertical="center" wrapText="1" indent="1"/>
    </xf>
    <xf numFmtId="0" fontId="23" fillId="0" borderId="15" xfId="0" applyFont="1" applyBorder="1" applyNumberFormat="1">
      <alignment horizontal="left" vertical="center" wrapText="1" indent="1"/>
    </xf>
    <xf numFmtId="49" fontId="55" fillId="0" borderId="24" xfId="0" applyFont="1" applyBorder="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0" fontId="54" fillId="0" borderId="0" xfId="0" applyFont="1" applyNumberFormat="1">
      <alignment horizontal="center"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49" fontId="55"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25" xfId="0" applyFont="1" applyBorder="1" applyNumberFormat="1">
      <alignment horizontal="left" vertical="center" wrapText="1"/>
    </xf>
    <xf numFmtId="2" fontId="23" fillId="0" borderId="25" xfId="0" applyFont="1" applyBorder="1" applyNumberFormat="1">
      <alignment horizontal="center" vertical="center" wrapText="1"/>
    </xf>
    <xf numFmtId="0" fontId="23" fillId="0" borderId="14" xfId="0" applyFont="1" applyBorder="1" applyNumberFormat="1">
      <alignment horizontal="left" vertical="center" wrapText="1"/>
    </xf>
    <xf numFmtId="49" fontId="55" fillId="0" borderId="24" xfId="0" applyFont="1" applyBorder="1" applyNumberFormat="1">
      <alignment vertical="top"/>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24" xfId="0" applyFont="1" applyBorder="1" applyNumberFormat="1">
      <alignmen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23" fillId="0" borderId="25" xfId="0" applyFont="1" applyBorder="1" applyNumberFormat="1">
      <alignment horizontal="left" vertical="center" wrapText="1"/>
    </xf>
    <xf numFmtId="0" fontId="23" fillId="0" borderId="14" xfId="0" applyFont="1" applyBorder="1" applyNumberFormat="1">
      <alignment horizontal="left" vertical="center" wrapText="1"/>
    </xf>
    <xf numFmtId="0" fontId="54" fillId="0" borderId="0" xfId="0" applyFont="1" applyNumberFormat="1">
      <alignment horizontal="center" vertical="top"/>
    </xf>
    <xf numFmtId="0" fontId="55" fillId="0" borderId="0" xfId="0" applyFont="1" applyNumberFormat="1">
      <alignment horizontal="center" vertical="center" wrapText="1"/>
    </xf>
    <xf numFmtId="49" fontId="55" fillId="0" borderId="25" xfId="0" applyFont="1" applyBorder="1" applyNumberFormat="1">
      <alignment horizontal="center" vertical="center" wrapText="1"/>
    </xf>
    <xf numFmtId="49" fontId="48" fillId="0" borderId="21"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53" fillId="0" borderId="0" xfId="0" applyFont="1" applyNumberFormat="1">
      <alignment horizontal="left" vertical="top" wrapText="1"/>
    </xf>
    <xf numFmtId="49" fontId="40" fillId="0" borderId="0" xfId="0" applyFont="1" applyNumberFormat="1">
      <alignment horizontal="center" vertical="center" wrapText="1"/>
    </xf>
    <xf numFmtId="0" fontId="55" fillId="0" borderId="0" xfId="0" applyFont="1" applyNumberFormat="1">
      <alignment vertical="center" wrapText="1"/>
    </xf>
    <xf numFmtId="0" fontId="40"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55" fillId="0" borderId="16" xfId="0" applyFont="1" applyBorder="1" applyNumberFormat="1">
      <alignment vertical="center" wrapTex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55" fillId="0" borderId="16" xfId="0" applyFont="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14" xfId="0" applyFont="1" applyBorder="1" applyNumberFormat="1">
      <alignment horizontal="left" vertical="center" wrapText="1"/>
    </xf>
    <xf numFmtId="49" fontId="23" fillId="0" borderId="61" xfId="0" applyFont="1" applyBorder="1" applyNumberFormat="1">
      <alignment horizontal="center" vertical="center" wrapText="1"/>
    </xf>
    <xf numFmtId="0" fontId="23"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5"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9" fontId="48" fillId="40" borderId="21" xfId="0" applyFont="1" applyFill="1" applyBorder="1" applyNumberFormat="1">
      <alignment horizontal="left" vertical="center" indent="2"/>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9" xfId="0" applyFont="1" applyBorder="1" applyNumberFormat="1">
      <alignment horizontal="left" vertical="center" wrapText="1"/>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9" xfId="0" applyFont="1" applyBorder="1" applyNumberFormat="1">
      <alignment horizontal="left" vertical="center" wrapText="1" indent="1"/>
    </xf>
    <xf numFmtId="0" fontId="23" fillId="0" borderId="19"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left" vertical="center" wrapText="1" inden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horizontal="left" vertical="top"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9" fontId="23" fillId="58" borderId="0" xfId="0" applyFont="1" applyFill="1" applyNumberFormat="1">
      <alignment horizontal="center" vertical="center" textRotation="90"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76" fillId="0" borderId="24" xfId="0" applyFont="1" applyBorder="1" applyNumberFormat="1">
      <alignment vertical="center" wrapText="1"/>
    </xf>
    <xf numFmtId="49"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23" fillId="0" borderId="14" xfId="0" applyFont="1" applyBorder="1" applyNumberFormat="1">
      <alignment horizontal="center" vertical="center" wrapText="1"/>
    </xf>
    <xf numFmtId="49" fontId="23" fillId="39" borderId="14" xfId="0" applyFont="1" applyFill="1" applyBorder="1" applyNumberFormat="1">
      <alignment horizontal="left" vertical="center" wrapText="1"/>
      <protection locked="0"/>
    </xf>
    <xf numFmtId="3" fontId="23" fillId="39" borderId="16" xfId="0" applyFont="1" applyFill="1" applyBorder="1" applyNumberFormat="1">
      <alignment horizontal="right" vertical="center" wrapText="1"/>
      <protection locked="0"/>
    </xf>
    <xf numFmtId="4" fontId="23" fillId="39" borderId="16" xfId="0" applyFont="1" applyFill="1" applyBorder="1" applyNumberFormat="1">
      <alignment horizontal="right" vertical="center" wrapText="1"/>
      <protection locked="0"/>
    </xf>
    <xf numFmtId="49" fontId="23" fillId="42" borderId="14"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88" fillId="0" borderId="0" xfId="0" applyFont="1" applyNumberFormat="1">
      <alignment vertical="center" wrapText="1"/>
    </xf>
    <xf numFmtId="0" fontId="23" fillId="0" borderId="14" xfId="0" applyFont="1" applyBorder="1" applyNumberFormat="1">
      <alignment horizontal="left" vertical="center" wrapText="1" indent="2"/>
    </xf>
    <xf numFmtId="3" fontId="53" fillId="39" borderId="14" xfId="0" applyFont="1" applyFill="1" applyBorder="1" applyNumberFormat="1">
      <alignment horizontal="right" vertical="center"/>
      <protection locked="0"/>
    </xf>
    <xf numFmtId="49" fontId="23" fillId="39" borderId="16" xfId="0" applyFont="1" applyFill="1" applyBorder="1" applyNumberFormat="1">
      <alignment horizontal="left" vertical="center" wrapText="1"/>
      <protection locked="0"/>
    </xf>
    <xf numFmtId="0" fontId="53"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4" xfId="0" applyFont="1" applyBorder="1" applyNumberFormat="1">
      <alignment horizontal="left" vertical="center" wrapText="1"/>
    </xf>
    <xf numFmtId="49" fontId="23" fillId="0" borderId="34" xfId="0" applyFont="1" applyBorder="1" applyNumberFormat="1">
      <alignment horizontal="center" vertical="center" wrapText="1"/>
    </xf>
    <xf numFmtId="0" fontId="23" fillId="0" borderId="34" xfId="0" applyFont="1" applyBorder="1" applyNumberFormat="1">
      <alignment horizontal="left" vertical="center" wrapText="1"/>
    </xf>
    <xf numFmtId="4" fontId="23" fillId="0" borderId="42" xfId="0" applyFont="1" applyBorder="1" applyNumberFormat="1">
      <alignment horizontal="center" vertical="center" wrapText="1"/>
    </xf>
    <xf numFmtId="49" fontId="34" fillId="0" borderId="32"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5"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34" fillId="0" borderId="16" xfId="0" applyFont="1" applyBorder="1" applyNumberFormat="1">
      <alignment horizontal="left" vertical="center" wrapText="1"/>
    </xf>
    <xf numFmtId="4" fontId="23" fillId="0" borderId="19"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0" fontId="23" fillId="0" borderId="35" xfId="0" applyFont="1" applyBorder="1" applyNumberFormat="1">
      <alignment horizontal="left" vertical="center" wrapText="1"/>
    </xf>
    <xf numFmtId="49" fontId="34" fillId="0" borderId="17"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0" borderId="34"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2"/>
    </xf>
    <xf numFmtId="4" fontId="23" fillId="0" borderId="33" xfId="0" applyFont="1" applyBorder="1" applyNumberFormat="1">
      <alignment horizontal="center" vertical="center" wrapText="1"/>
    </xf>
    <xf numFmtId="49" fontId="23" fillId="0" borderId="36" xfId="0" applyFont="1" applyBorder="1" applyNumberFormat="1">
      <alignment horizontal="center" vertical="center" wrapText="1"/>
    </xf>
    <xf numFmtId="49" fontId="34" fillId="42" borderId="14"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 fontId="23" fillId="0" borderId="37" xfId="0" applyFont="1" applyBorder="1" applyNumberFormat="1">
      <alignment horizontal="center" vertical="center" wrapText="1"/>
    </xf>
    <xf numFmtId="49" fontId="34" fillId="0" borderId="39" xfId="0" applyFont="1" applyBorder="1" applyNumberFormat="1">
      <alignment horizontal="left" vertical="center" wrapText="1"/>
    </xf>
    <xf numFmtId="49" fontId="23" fillId="0" borderId="35"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 fontId="23" fillId="42" borderId="36" xfId="0" applyFont="1" applyFill="1" applyBorder="1" applyNumberFormat="1">
      <alignment horizontal="right" vertical="center" wrapText="1"/>
      <protection locked="0"/>
    </xf>
    <xf numFmtId="49" fontId="34" fillId="42" borderId="16" xfId="0" applyFont="1" applyFill="1" applyBorder="1" applyNumberFormat="1">
      <alignment horizontal="left" vertical="center" wrapText="1"/>
      <protection locked="0"/>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0" fillId="0" borderId="16" xfId="0" applyFont="1" applyBorder="1" applyNumberFormat="1">
      <alignment horizontal="center" vertical="center"/>
    </xf>
    <xf numFmtId="0" fontId="23" fillId="0" borderId="15" xfId="0" applyFont="1" applyBorder="1" applyNumberFormat="1">
      <alignment horizontal="center" vertical="center" wrapText="1"/>
    </xf>
    <xf numFmtId="167" fontId="0" fillId="39"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44" fillId="0" borderId="0" xfId="0" applyFont="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0" borderId="15"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5" xfId="0" applyFont="1" applyBorder="1" applyNumberFormat="1">
      <alignment horizontal="center"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vertical="center" wrapText="1"/>
    </xf>
    <xf numFmtId="0" fontId="23" fillId="40" borderId="29" xfId="0" applyFont="1" applyFill="1" applyBorder="1" applyNumberFormat="1">
      <alignment vertical="center" wrapText="1"/>
    </xf>
    <xf numFmtId="0" fontId="44" fillId="0" borderId="0" xfId="0" applyFont="1" applyNumberFormat="1">
      <alignment horizontal="center" vertical="center" wrapText="1"/>
    </xf>
    <xf numFmtId="0" fontId="88" fillId="0" borderId="0" xfId="0" applyFont="1" applyNumberFormat="1">
      <alignment vertical="center" wrapText="1"/>
    </xf>
    <xf numFmtId="49" fontId="54" fillId="0" borderId="0" xfId="0" applyFont="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49" fontId="103" fillId="0" borderId="0" xfId="0" applyFont="1" applyNumberFormat="1">
      <alignment horizontal="center"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0" fontId="0" fillId="0" borderId="14" xfId="0" applyFont="1" applyBorder="1" applyNumberFormat="1">
      <alignment horizontal="left" vertical="center" wrapText="1" indent="1"/>
    </xf>
    <xf numFmtId="49"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55" fillId="0" borderId="0" xfId="0" applyFont="1" applyNumberFormat="1">
      <alignment horizontal="center" vertical="center" wrapText="1"/>
    </xf>
    <xf numFmtId="49" fontId="23" fillId="0" borderId="16" xfId="0" applyFont="1" applyBorder="1" applyNumberFormat="1">
      <alignment horizontal="center" vertical="center" wrapText="1"/>
    </xf>
    <xf numFmtId="49" fontId="48" fillId="40" borderId="16" xfId="0" applyFont="1" applyFill="1" applyBorder="1" applyNumberFormat="1">
      <alignment horizontal="left" vertical="center" indent="1"/>
    </xf>
    <xf numFmtId="0" fontId="23" fillId="40" borderId="31" xfId="0" applyFont="1" applyFill="1" applyBorder="1" applyNumberFormat="1">
      <alignment vertical="center" wrapText="1"/>
    </xf>
    <xf numFmtId="49" fontId="54" fillId="0" borderId="0" xfId="0" applyFont="1" applyNumberFormat="1">
      <alignment horizontal="center" vertical="center" wrapText="1"/>
    </xf>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78" fillId="0" borderId="41" xfId="0" applyFont="1" applyBorder="1" applyNumberFormat="1">
      <alignment vertical="top"/>
    </xf>
    <xf numFmtId="49" fontId="78" fillId="0" borderId="41" xfId="0" applyFont="1" applyBorder="1" applyNumberFormat="1">
      <alignment vertical="top"/>
    </xf>
    <xf numFmtId="0" fontId="36" fillId="37" borderId="41" xfId="0" applyFont="1" applyFill="1" applyBorder="1" applyNumberFormat="1">
      <alignment horizontal="center" wrapText="1"/>
    </xf>
    <xf numFmtId="0" fontId="36" fillId="37" borderId="41" xfId="0" applyFont="1" applyFill="1" applyBorder="1" applyNumberFormat="1">
      <alignment horizont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40" xfId="0" applyFont="1" applyBorder="1" applyNumberFormat="1">
      <alignmen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0" fillId="0" borderId="14" xfId="0" applyFont="1" applyBorder="1" applyNumberFormat="1">
      <alignment horizontal="center" vertical="center" wrapText="1"/>
    </xf>
    <xf numFmtId="49" fontId="23" fillId="0" borderId="0" xfId="0" applyFont="1" applyNumberFormat="1">
      <alignment vertical="top"/>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0" fontId="23" fillId="37" borderId="0" xfId="0" applyFont="1" applyFill="1" applyNumberFormat="1">
      <alignment vertical="center" wrapText="1"/>
    </xf>
    <xf numFmtId="0" fontId="23" fillId="37" borderId="21" xfId="0" applyFont="1" applyFill="1" applyBorder="1" applyNumberFormat="1">
      <alignment vertical="center" wrapText="1"/>
    </xf>
    <xf numFmtId="49" fontId="23" fillId="0" borderId="0" xfId="0" applyFont="1" applyNumberFormat="1">
      <alignment vertical="top"/>
    </xf>
    <xf numFmtId="49" fontId="55" fillId="0" borderId="0" xfId="0" applyFont="1" applyNumberFormat="1">
      <alignment vertical="top"/>
    </xf>
    <xf numFmtId="0" fontId="55" fillId="0" borderId="41" xfId="0" applyFont="1" applyBorder="1" applyNumberFormat="1">
      <alignment vertical="center" wrapText="1"/>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0" fontId="23" fillId="0" borderId="40" xfId="0" applyFont="1" applyBorder="1" applyNumberFormat="1">
      <alignment vertical="center"/>
    </xf>
    <xf numFmtId="49" fontId="0" fillId="0" borderId="19"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23" fillId="0" borderId="24" xfId="0" applyFont="1" applyBorder="1" applyNumberFormat="1">
      <alignment vertical="top"/>
    </xf>
    <xf numFmtId="49" fontId="0" fillId="0" borderId="38"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xf>
    <xf numFmtId="49" fontId="0" fillId="38" borderId="14" xfId="0" applyFont="1" applyFill="1" applyBorder="1" applyNumberFormat="1">
      <alignment horizontal="center" vertical="center"/>
    </xf>
    <xf numFmtId="0" fontId="23" fillId="0" borderId="24" xfId="0" applyFont="1" applyBorder="1" applyNumberFormat="1">
      <alignment vertical="center" wrapText="1"/>
    </xf>
    <xf numFmtId="49" fontId="0" fillId="0" borderId="14"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 fontId="0" fillId="39"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horizontal="left" vertical="center" wrapText="1"/>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49" fontId="54" fillId="0" borderId="0" xfId="0" applyFont="1" applyNumberFormat="1">
      <alignment horizontal="center" vertical="center" wrapText="1"/>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23" fillId="0" borderId="0" xfId="0" applyFont="1" applyNumberFormat="1">
      <alignment horizontal="center" vertical="top" wrapText="1"/>
    </xf>
    <xf numFmtId="49" fontId="40"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2" xfId="0" applyFont="1" applyBorder="1" applyNumberFormat="1">
      <alignment horizontal="left" vertical="top" wrapText="1"/>
    </xf>
    <xf numFmtId="49" fontId="23" fillId="0" borderId="0" xfId="0" applyFont="1" applyNumberFormat="1">
      <alignment horizontal="center" vertical="center" wrapText="1"/>
    </xf>
    <xf numFmtId="49" fontId="40" fillId="0" borderId="0" xfId="0" applyFont="1" applyNumberFormat="1">
      <alignment horizontal="center" vertical="center" wrapText="1"/>
    </xf>
    <xf numFmtId="49" fontId="23" fillId="37" borderId="0" xfId="0" applyFont="1" applyFill="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49" fontId="53" fillId="37" borderId="0" xfId="0" applyFont="1" applyFill="1" applyNumberFormat="1">
      <alignment vertical="center" wrapText="1"/>
    </xf>
    <xf numFmtId="49" fontId="23" fillId="37" borderId="14"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49" fontId="23" fillId="0" borderId="0" xfId="0" applyFont="1" applyNumberFormat="1">
      <alignment vertical="center" wrapText="1"/>
    </xf>
    <xf numFmtId="49" fontId="53" fillId="0" borderId="0" xfId="0" applyFont="1" applyNumberFormat="1">
      <alignment vertical="top"/>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3" fillId="0" borderId="0" xfId="0" applyFont="1" applyNumberFormat="1">
      <alignment vertical="center"/>
    </xf>
    <xf numFmtId="49" fontId="53" fillId="37" borderId="0" xfId="0" applyFont="1" applyFill="1" applyNumberFormat="1">
      <alignment vertical="center"/>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104"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49" fontId="53" fillId="0" borderId="0" xfId="0" applyFont="1" applyNumberFormat="1">
      <alignment vertical="center" wrapText="1"/>
    </xf>
    <xf numFmtId="49" fontId="53" fillId="0" borderId="0" xfId="0" applyFont="1" applyNumberFormat="1">
      <alignment vertical="top"/>
    </xf>
    <xf numFmtId="0" fontId="53" fillId="0" borderId="0" xfId="0" applyFont="1" applyNumberFormat="1">
      <alignment vertical="center" wrapText="1"/>
    </xf>
    <xf numFmtId="49" fontId="99" fillId="0" borderId="0" xfId="0" applyFont="1" applyNumberFormat="1">
      <alignment vertical="center" wrapText="1"/>
    </xf>
    <xf numFmtId="49" fontId="53" fillId="0" borderId="0" xfId="0" applyFont="1" applyNumberFormat="1">
      <alignment vertical="center" wrapText="1"/>
    </xf>
    <xf numFmtId="49" fontId="104" fillId="0" borderId="0" xfId="0" applyFont="1" applyNumberFormat="1">
      <alignment vertical="center"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4" xfId="0" applyFont="1" applyBorder="1" applyNumberFormat="1">
      <alignment horizontal="left" vertical="top" wrapText="1"/>
    </xf>
    <xf numFmtId="3" fontId="23" fillId="42" borderId="16" xfId="0" applyFont="1" applyFill="1" applyBorder="1" applyNumberFormat="1">
      <alignment vertical="center" wrapText="1"/>
      <protection locked="0"/>
    </xf>
    <xf numFmtId="0" fontId="23" fillId="0" borderId="14" xfId="0" applyFont="1" applyBorder="1" applyNumberFormat="1">
      <alignment vertical="top" wrapText="1"/>
    </xf>
    <xf numFmtId="0" fontId="23" fillId="0" borderId="14" xfId="0" applyFont="1" applyBorder="1" applyNumberFormat="1">
      <alignment horizontal="left" vertical="top" wrapText="1"/>
    </xf>
    <xf numFmtId="4" fontId="23" fillId="38" borderId="16" xfId="0" applyFont="1" applyFill="1" applyBorder="1" applyNumberFormat="1">
      <alignment horizontal="right" vertical="center" wrapText="1"/>
    </xf>
    <xf numFmtId="0" fontId="54" fillId="0" borderId="14" xfId="0" applyFont="1" applyBorder="1" applyNumberFormat="1">
      <alignment vertical="top" wrapText="1"/>
    </xf>
    <xf numFmtId="0" fontId="45" fillId="0" borderId="0" xfId="0" applyFont="1" applyNumberFormat="1">
      <alignment horizontal="center" vertical="center" wrapText="1"/>
    </xf>
    <xf numFmtId="49" fontId="23" fillId="42" borderId="14"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7"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0"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4" fillId="37" borderId="0" xfId="0" applyFont="1" applyFill="1" applyNumberFormat="1">
      <alignment horizontal="center" vertical="center" wrapText="1"/>
    </xf>
    <xf numFmtId="49" fontId="23" fillId="0" borderId="0" xfId="0" applyFont="1" applyNumberFormat="1">
      <alignment vertical="top"/>
    </xf>
    <xf numFmtId="49" fontId="0" fillId="37" borderId="14" xfId="0" applyFont="1" applyFill="1" applyBorder="1" applyNumberFormat="1">
      <alignment horizontal="center" vertical="center" wrapText="1"/>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34" fillId="42" borderId="14" xfId="0" applyFont="1" applyFill="1" applyBorder="1" applyNumberFormat="1">
      <alignment horizontal="left" vertical="center" wrapText="1"/>
      <protection locked="0"/>
    </xf>
    <xf numFmtId="0"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49" fontId="52" fillId="40" borderId="15"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47" fillId="37" borderId="0" xfId="0" applyFont="1" applyFill="1" applyNumberFormat="1">
      <alignment vertical="center" wrapText="1"/>
    </xf>
    <xf numFmtId="49" fontId="52" fillId="40" borderId="17" xfId="0" applyFont="1" applyFill="1" applyBorder="1" applyNumberFormat="1">
      <alignment horizontal="center" vertical="top"/>
    </xf>
    <xf numFmtId="0" fontId="55" fillId="0" borderId="0" xfId="0" applyFont="1" applyNumberFormat="1">
      <alignment vertical="center"/>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49" fontId="72" fillId="0" borderId="14" xfId="0" applyFont="1" applyBorder="1" applyNumberFormat="1">
      <alignment horizontal="center" vertical="center" wrapText="1"/>
    </xf>
    <xf numFmtId="0" fontId="72" fillId="0" borderId="14" xfId="0" applyFont="1" applyBorder="1" applyNumberFormat="1">
      <alignment horizontal="left" vertical="center" wrapText="1" indent="2"/>
    </xf>
    <xf numFmtId="49" fontId="75" fillId="0" borderId="16" xfId="0" applyFont="1" applyBorder="1" applyNumberFormat="1">
      <alignment horizontal="left" vertical="center" wrapText="1"/>
    </xf>
    <xf numFmtId="0" fontId="23" fillId="0" borderId="19" xfId="0" applyFont="1" applyBorder="1" applyNumberFormat="1">
      <alignment vertical="top" wrapText="1"/>
    </xf>
    <xf numFmtId="49" fontId="48" fillId="40" borderId="17" xfId="0" applyFont="1" applyFill="1" applyBorder="1" applyNumberFormat="1">
      <alignment horizontal="left" vertical="center" indent="1"/>
    </xf>
    <xf numFmtId="0" fontId="23" fillId="0" borderId="25" xfId="0" applyFont="1" applyBorder="1" applyNumberFormat="1">
      <alignment vertical="top"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4" fillId="0" borderId="0" xfId="0" applyFont="1" applyNumberFormat="1">
      <alignment vertical="center" wrapText="1"/>
    </xf>
    <xf numFmtId="0" fontId="47" fillId="0" borderId="0" xfId="0" applyFont="1" applyNumberFormat="1">
      <alignment vertical="center" wrapText="1"/>
    </xf>
    <xf numFmtId="49" fontId="54" fillId="0" borderId="0" xfId="0" applyFont="1" applyNumberFormat="1">
      <alignment vertical="top"/>
    </xf>
    <xf numFmtId="49" fontId="126" fillId="0" borderId="0" xfId="0" applyFont="1" applyNumberFormat="1">
      <alignment horizontal="center" vertical="center" wrapText="1"/>
    </xf>
    <xf numFmtId="0" fontId="0" fillId="42" borderId="14" xfId="0" applyFont="1" applyFill="1" applyBorder="1" applyNumberFormat="1">
      <alignment horizontal="left" vertical="center" wrapText="1" indent="1"/>
      <protection locked="0"/>
    </xf>
    <xf numFmtId="49" fontId="34" fillId="42" borderId="14" xfId="0" applyFont="1" applyFill="1" applyBorder="1" applyNumberFormat="1">
      <alignment horizontal="left" vertical="center" wrapText="1"/>
      <protection locked="0"/>
    </xf>
    <xf numFmtId="0" fontId="47" fillId="0" borderId="0" xfId="0" applyFont="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0" fillId="0" borderId="14" xfId="0" applyFont="1" applyBorder="1" applyNumberFormat="1">
      <alignment horizontal="left" vertical="center" wrapText="1"/>
    </xf>
    <xf numFmtId="167" fontId="0" fillId="42" borderId="14" xfId="0" applyFont="1" applyFill="1" applyBorder="1" applyNumberFormat="1">
      <alignment horizontal="left" vertical="center" wrapText="1"/>
      <protection locked="0"/>
    </xf>
    <xf numFmtId="0" fontId="130" fillId="42" borderId="14" xfId="0" applyFont="1" applyFill="1" applyBorder="1" applyNumberFormat="1">
      <alignment horizontal="left" vertical="center" wrapText="1"/>
      <protection locked="0"/>
    </xf>
    <xf numFmtId="49" fontId="13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0" fillId="0" borderId="14" xfId="0" applyFont="1" applyBorder="1" applyNumberFormat="1">
      <alignment horizontal="left"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4" xfId="0" applyFont="1" applyBorder="1" applyNumberFormat="1">
      <alignment vertical="top" wrapText="1"/>
    </xf>
    <xf numFmtId="49" fontId="54" fillId="0" borderId="0" xfId="0" applyFont="1" applyNumberFormat="1">
      <alignment vertical="top"/>
    </xf>
    <xf numFmtId="49" fontId="126" fillId="0" borderId="0" xfId="0" applyFont="1" applyNumberFormat="1">
      <alignment horizontal="center" vertical="center" wrapText="1"/>
    </xf>
    <xf numFmtId="49" fontId="0" fillId="37" borderId="14" xfId="0" applyFont="1" applyFill="1" applyBorder="1" applyNumberFormat="1">
      <alignment horizontal="center" vertical="center" wrapText="1"/>
    </xf>
    <xf numFmtId="0" fontId="0" fillId="42" borderId="14" xfId="0" applyFont="1" applyFill="1" applyBorder="1" applyNumberFormat="1">
      <alignment horizontal="left" vertical="center" wrapText="1" indent="1"/>
      <protection locked="0"/>
    </xf>
    <xf numFmtId="49" fontId="130" fillId="42" borderId="14" xfId="0" applyFont="1" applyFill="1" applyBorder="1" applyNumberFormat="1">
      <alignment horizontal="left" vertical="center" wrapText="1"/>
      <protection locked="0"/>
    </xf>
    <xf numFmtId="0" fontId="55" fillId="0" borderId="0" xfId="0" applyFont="1" applyNumberFormat="1">
      <alignment vertical="center"/>
    </xf>
    <xf numFmtId="49" fontId="48" fillId="40" borderId="17" xfId="0" applyFont="1" applyFill="1" applyBorder="1" applyNumberFormat="1">
      <alignment horizontal="left" vertical="center" indent="2"/>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protection locked="0"/>
    </xf>
    <xf numFmtId="49" fontId="48" fillId="40" borderId="17" xfId="0" applyFont="1" applyFill="1" applyBorder="1" applyNumberFormat="1">
      <alignment horizontal="left" vertical="center" indent="3"/>
    </xf>
    <xf numFmtId="49" fontId="23" fillId="43" borderId="14" xfId="0" applyFont="1" applyFill="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5" xfId="0" applyFont="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49" fontId="52" fillId="40" borderId="15" xfId="0" applyFont="1" applyFill="1" applyBorder="1" applyNumberFormat="1">
      <alignment horizontal="center" vertical="top"/>
    </xf>
    <xf numFmtId="0" fontId="0" fillId="0" borderId="15"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4" xfId="0" applyFont="1" applyBorder="1" applyNumberFormat="1">
      <alignment horizontal="center" vertical="center" wrapText="1"/>
    </xf>
    <xf numFmtId="0" fontId="23" fillId="0" borderId="17" xfId="0" applyFont="1" applyBorder="1" applyNumberFormat="1">
      <alignment horizontal="left" vertical="top" wrapText="1" indent="1"/>
    </xf>
    <xf numFmtId="0" fontId="22" fillId="0" borderId="0" xfId="0" applyFont="1" applyNumberFormat="1">
      <alignment vertical="center" wrapText="1"/>
    </xf>
    <xf numFmtId="0" fontId="0" fillId="37" borderId="16" xfId="0" applyFont="1" applyFill="1" applyBorder="1" applyNumberFormat="1">
      <alignment horizontal="right" vertical="center" wrapText="1" indent="1"/>
    </xf>
    <xf numFmtId="0" fontId="76" fillId="0" borderId="0" xfId="0" applyFont="1" applyNumberFormat="1">
      <alignment vertical="center" wrapText="1"/>
    </xf>
    <xf numFmtId="49" fontId="44" fillId="37" borderId="0" xfId="0" applyFont="1" applyFill="1" applyNumberFormat="1">
      <alignment horizontal="center" vertical="center" wrapText="1"/>
    </xf>
    <xf numFmtId="49" fontId="44" fillId="37" borderId="21" xfId="0" applyFont="1" applyFill="1" applyBorder="1" applyNumberFormat="1">
      <alignment horizontal="center" vertical="center" wrapText="1"/>
    </xf>
    <xf numFmtId="49" fontId="0" fillId="37" borderId="19"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23" fillId="0" borderId="14" xfId="0" applyFont="1" applyBorder="1" applyNumberFormat="1">
      <alignment horizontal="left" vertical="center" wrapText="1"/>
    </xf>
    <xf numFmtId="0" fontId="47" fillId="37" borderId="0" xfId="0" applyFont="1" applyFill="1" applyNumberFormat="1">
      <alignment horizontal="center" vertical="top" wrapText="1"/>
    </xf>
    <xf numFmtId="0" fontId="0" fillId="38" borderId="16" xfId="0" applyFont="1" applyFill="1" applyBorder="1" applyNumberFormat="1">
      <alignment horizontal="left" vertical="center" wrapText="1" indent="1"/>
    </xf>
    <xf numFmtId="0" fontId="0" fillId="0" borderId="15" xfId="0" applyFont="1" applyBorder="1" applyNumberFormat="1">
      <alignment horizontal="center" vertical="center" wrapText="1"/>
    </xf>
    <xf numFmtId="0" fontId="0" fillId="0" borderId="15" xfId="0" applyFont="1" applyBorder="1" applyNumberFormat="1">
      <alignment horizontal="center" vertical="center" wrapText="1"/>
    </xf>
    <xf numFmtId="49" fontId="48" fillId="40" borderId="29" xfId="0" applyFont="1" applyFill="1" applyBorder="1" applyNumberFormat="1">
      <alignment horizontal="left" vertical="center" indent="2"/>
    </xf>
    <xf numFmtId="49" fontId="48" fillId="40" borderId="17" xfId="0" applyFont="1" applyFill="1" applyBorder="1" applyNumberFormat="1">
      <alignment horizontal="left" vertical="center"/>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23" fillId="0" borderId="0" xfId="0" applyFont="1" applyNumberFormat="1">
      <alignment vertical="center" wrapText="1"/>
    </xf>
    <xf numFmtId="0" fontId="23" fillId="0" borderId="0" xfId="0" applyFont="1" applyNumberFormat="1">
      <alignment vertical="top" wrapText="1"/>
    </xf>
    <xf numFmtId="0" fontId="47" fillId="0" borderId="0" xfId="0" applyFont="1" applyNumberFormat="1">
      <alignment vertical="center" wrapText="1"/>
    </xf>
    <xf numFmtId="0" fontId="23" fillId="0" borderId="38" xfId="0" applyFont="1" applyBorder="1" applyNumberFormat="1">
      <alignment vertical="center" wrapText="1"/>
    </xf>
    <xf numFmtId="0" fontId="0" fillId="38" borderId="14" xfId="0" applyFont="1" applyFill="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0" fontId="76" fillId="0" borderId="0" xfId="0" applyFont="1" applyNumberFormat="1">
      <alignment vertical="center" wrapText="1"/>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0" fontId="23" fillId="0" borderId="14" xfId="0" applyFont="1" applyBorder="1" applyNumberFormat="1">
      <alignment vertical="top" wrapText="1"/>
    </xf>
    <xf numFmtId="49" fontId="0" fillId="37" borderId="16" xfId="0" applyFont="1" applyFill="1" applyBorder="1" applyNumberFormat="1">
      <alignment horizontal="center" vertical="center" wrapText="1"/>
    </xf>
    <xf numFmtId="0" fontId="23" fillId="0" borderId="38" xfId="0" applyFont="1" applyBorder="1" applyNumberFormat="1">
      <alignment horizontal="left" vertical="top" wrapText="1"/>
    </xf>
    <xf numFmtId="4" fontId="0" fillId="42" borderId="14" xfId="0" applyFont="1" applyFill="1" applyBorder="1" applyNumberFormat="1">
      <alignment horizontal="right" vertical="center" wrapText="1"/>
      <protection locked="0"/>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23" fillId="0" borderId="0" xfId="0" applyFont="1" applyNumberFormat="1">
      <alignment vertical="top"/>
    </xf>
    <xf numFmtId="49" fontId="23" fillId="0" borderId="21"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5" fillId="0" borderId="0" xfId="0" applyFont="1" applyNumberFormat="1">
      <alignment vertical="center"/>
    </xf>
    <xf numFmtId="49" fontId="23" fillId="0" borderId="0" xfId="0" applyFont="1" applyNumberFormat="1">
      <alignment vertical="top"/>
    </xf>
    <xf numFmtId="49" fontId="0" fillId="42" borderId="14" xfId="0" applyFont="1" applyFill="1" applyBorder="1" applyNumberFormat="1">
      <alignment horizontal="left" vertical="center" wrapText="1" indent="1"/>
      <protection locked="0"/>
    </xf>
    <xf numFmtId="0" fontId="23" fillId="0" borderId="0" xfId="0" applyFont="1" applyNumberFormat="1">
      <alignment vertical="center" wrapText="1"/>
    </xf>
    <xf numFmtId="0" fontId="69" fillId="0" borderId="0" xfId="0" applyFont="1" applyNumberFormat="1">
      <alignment vertical="center" wrapText="1"/>
    </xf>
    <xf numFmtId="0" fontId="23" fillId="37" borderId="14" xfId="0" applyFont="1" applyFill="1" applyBorder="1" applyNumberFormat="1">
      <alignment horizontal="center" vertical="center" wrapText="1"/>
    </xf>
    <xf numFmtId="0" fontId="0" fillId="0" borderId="14" xfId="0" applyFont="1" applyBorder="1" applyNumberFormat="1">
      <alignment horizontal="left" vertical="top"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0" borderId="21" xfId="0" applyFont="1" applyBorder="1" applyNumberFormat="1">
      <alignment vertical="center" wrapText="1"/>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49" fontId="23" fillId="0" borderId="0" xfId="0" applyFont="1" applyNumberFormat="1">
      <alignment vertical="center" wrapText="1"/>
    </xf>
    <xf numFmtId="0" fontId="88"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0" borderId="14" xfId="0" applyFont="1" applyBorder="1" applyNumberFormat="1">
      <alignment horizontal="center" vertical="center" wrapText="1"/>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40" fillId="49" borderId="0" xfId="0" applyFont="1" applyFill="1" applyNumberFormat="1">
      <alignment horizontal="center" vertical="center"/>
    </xf>
    <xf numFmtId="49" fontId="23" fillId="0" borderId="14" xfId="0" applyFont="1" applyBorder="1" applyNumberFormat="1">
      <alignment horizontal="center" vertical="top"/>
    </xf>
    <xf numFmtId="49" fontId="54" fillId="49" borderId="0" xfId="0" applyFont="1" applyFill="1" applyNumberFormat="1">
      <alignment horizontal="center" vertical="center" wrapText="1"/>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23" fillId="0" borderId="16" xfId="0" applyFont="1" applyBorder="1" applyNumberFormat="1">
      <alignment horizontal="left" vertical="center"/>
    </xf>
    <xf numFmtId="49" fontId="23" fillId="0" borderId="46" xfId="0" applyFont="1" applyBorder="1" applyNumberFormat="1">
      <alignment vertical="center"/>
    </xf>
    <xf numFmtId="49" fontId="23" fillId="0" borderId="47" xfId="0" applyFont="1" applyBorder="1" applyNumberFormat="1">
      <alignment vertical="top"/>
    </xf>
    <xf numFmtId="49" fontId="23" fillId="0" borderId="18"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0" fontId="0" fillId="50" borderId="0" xfId="0" applyFont="1" applyFill="1" applyNumberFormat="1">
      <alignment horizontal="right" vertical="center"/>
    </xf>
    <xf numFmtId="49" fontId="40" fillId="0" borderId="0" xfId="0" applyFont="1" applyNumberFormat="1">
      <alignment horizontal="center" vertical="center"/>
    </xf>
    <xf numFmtId="49" fontId="0" fillId="0" borderId="0" xfId="0" applyFont="1" applyNumberFormat="1">
      <alignment vertical="top"/>
    </xf>
    <xf numFmtId="49" fontId="40" fillId="49" borderId="0" xfId="0" applyFont="1" applyFill="1" applyNumberFormat="1">
      <alignment horizontal="center" vertical="center"/>
    </xf>
    <xf numFmtId="0" fontId="23" fillId="0" borderId="0" xfId="0" applyFont="1" applyNumberFormat="1">
      <alignment vertical="center"/>
    </xf>
    <xf numFmtId="0" fontId="0" fillId="50"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6" xfId="0" applyFont="1" applyBorder="1" applyNumberFormat="1">
      <alignment vertical="top"/>
    </xf>
    <xf numFmtId="0" fontId="0" fillId="50" borderId="0" xfId="0" applyFont="1" applyFill="1" applyNumberFormat="1">
      <alignment horizontal="right" vertical="center"/>
    </xf>
    <xf numFmtId="0" fontId="0" fillId="0" borderId="0" xfId="0" applyFont="1" applyNumberFormat="1">
      <alignment horizontal="left" vertical="center"/>
    </xf>
    <xf numFmtId="0" fontId="0" fillId="50" borderId="0" xfId="0" applyFont="1" applyFill="1" applyNumberFormat="1">
      <alignment horizontal="right" vertical="center"/>
    </xf>
    <xf numFmtId="0" fontId="0" fillId="50" borderId="0" xfId="0" applyFont="1" applyFill="1" applyNumberFormat="1">
      <alignment horizontal="left" vertical="center"/>
    </xf>
    <xf numFmtId="0" fontId="59" fillId="50"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9" fillId="0" borderId="0" xfId="0" applyFont="1" applyNumberFormat="1">
      <alignment horizontal="left" vertical="center"/>
    </xf>
    <xf numFmtId="49" fontId="0" fillId="0" borderId="16" xfId="0" applyFont="1" applyBorder="1" applyNumberFormat="1">
      <alignment vertical="top"/>
    </xf>
    <xf numFmtId="49" fontId="23" fillId="0" borderId="14" xfId="0" applyFont="1" applyBorder="1" applyNumberFormat="1">
      <alignment horizontal="right" vertical="top"/>
    </xf>
    <xf numFmtId="0" fontId="0" fillId="0" borderId="16" xfId="0" applyFont="1" applyBorder="1" applyNumberFormat="1">
      <alignment horizontal="left" vertical="center"/>
    </xf>
    <xf numFmtId="0" fontId="59" fillId="50" borderId="0" xfId="0" applyFont="1" applyFill="1" applyNumberFormat="1">
      <alignment horizontal="left" vertical="center"/>
    </xf>
    <xf numFmtId="49" fontId="23" fillId="0" borderId="19" xfId="0" applyFont="1" applyBorder="1" applyNumberFormat="1">
      <alignment horizontal="righ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14" xfId="0" applyFont="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0" fontId="23" fillId="50" borderId="0" xfId="0" applyFont="1" applyFill="1" applyNumberFormat="1">
      <alignment horizontal="left" vertical="center"/>
    </xf>
    <xf numFmtId="0" fontId="0" fillId="50" borderId="12" xfId="0" applyFont="1" applyFill="1" applyBorder="1" applyNumberFormat="1">
      <alignment horizontal="center"/>
    </xf>
    <xf numFmtId="49" fontId="109" fillId="0" borderId="18" xfId="0" applyFont="1" applyBorder="1" applyNumberFormat="1">
      <alignment vertical="top"/>
    </xf>
    <xf numFmtId="49" fontId="0" fillId="0" borderId="0" xfId="0" applyFont="1" applyNumberFormat="1">
      <alignment vertical="center"/>
    </xf>
    <xf numFmtId="49" fontId="53" fillId="56" borderId="0" xfId="0" applyFont="1" applyFill="1" applyNumberFormat="1">
      <alignment vertical="center" wrapText="1"/>
    </xf>
    <xf numFmtId="0" fontId="0" fillId="0" borderId="12" xfId="0" applyFont="1" applyBorder="1" applyNumberFormat="1">
      <alignment horizontal="center"/>
    </xf>
    <xf numFmtId="49" fontId="23" fillId="50" borderId="0" xfId="0" applyFont="1" applyFill="1" applyNumberFormat="1">
      <alignment horizontal="center" vertical="center"/>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0" fontId="0" fillId="34" borderId="14" xfId="0" applyFont="1" applyFill="1" applyBorder="1" applyNumberFormat="1">
      <alignment horizontal="right" vertical="center"/>
    </xf>
    <xf numFmtId="49" fontId="23" fillId="34" borderId="25" xfId="0" applyFont="1" applyFill="1" applyBorder="1" applyNumberFormat="1">
      <alignment vertical="top"/>
    </xf>
    <xf numFmtId="49" fontId="23" fillId="34" borderId="14" xfId="0" applyFont="1" applyFill="1" applyBorder="1" applyNumberFormat="1">
      <alignment vertical="top"/>
    </xf>
    <xf numFmtId="49" fontId="23" fillId="0" borderId="16" xfId="0" applyFont="1" applyBorder="1" applyNumberFormat="1">
      <alignment horizontal="center" vertical="top"/>
    </xf>
    <xf numFmtId="49" fontId="23" fillId="0" borderId="15" xfId="0" applyFont="1" applyBorder="1" applyNumberFormat="1">
      <alignment horizontal="center" vertical="top"/>
    </xf>
    <xf numFmtId="0" fontId="23" fillId="38" borderId="32" xfId="0" applyFont="1" applyFill="1" applyBorder="1" applyNumberFormat="1">
      <alignment horizontal="center" vertical="top"/>
    </xf>
    <xf numFmtId="0" fontId="23" fillId="38" borderId="32" xfId="0" applyFont="1" applyFill="1" applyBorder="1" applyNumberFormat="1">
      <alignment horizontal="left" vertical="top"/>
    </xf>
    <xf numFmtId="0" fontId="0" fillId="0" borderId="34" xfId="0" applyFont="1" applyBorder="1" applyNumberFormat="1">
      <alignment horizontal="center" vertical="center"/>
    </xf>
    <xf numFmtId="0" fontId="0" fillId="0" borderId="36" xfId="0" applyFont="1" applyBorder="1" applyNumberFormat="1">
      <alignment horizontal="center" vertical="center"/>
    </xf>
    <xf numFmtId="0" fontId="23" fillId="0" borderId="14" xfId="0" applyFont="1" applyBorder="1" applyNumberFormat="1">
      <alignment horizontal="left" vertical="top"/>
    </xf>
    <xf numFmtId="49" fontId="23" fillId="0" borderId="0" xfId="0" applyFont="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49" fontId="40" fillId="49" borderId="16" xfId="0" applyFont="1" applyFill="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50"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0" fontId="23" fillId="42" borderId="14" xfId="0" applyFont="1" applyFill="1" applyBorder="1" applyNumberFormat="1">
      <alignment horizontal="center" vertical="center" wrapText="1"/>
      <protection locked="0"/>
    </xf>
    <xf numFmtId="0" fontId="54" fillId="37" borderId="0" xfId="0" applyFont="1" applyFill="1" applyNumberFormat="1"/>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8" borderId="14" xfId="0" applyFont="1" applyFill="1" applyBorder="1" applyNumberFormat="1">
      <alignment horizontal="left" vertical="center" wrapText="1"/>
    </xf>
    <xf numFmtId="0" fontId="73" fillId="37" borderId="0" xfId="0" applyFont="1" applyFill="1" applyNumberFormat="1"/>
    <xf numFmtId="0" fontId="23" fillId="37" borderId="14" xfId="0" applyFont="1" applyFill="1" applyBorder="1" applyNumberFormat="1">
      <alignment horizontal="left"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0" fontId="55"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0" fillId="37" borderId="19" xfId="0" applyFont="1" applyFill="1" applyBorder="1" applyNumberFormat="1">
      <alignment horizontal="left" vertical="top" wrapText="1"/>
    </xf>
    <xf numFmtId="0" fontId="72" fillId="37" borderId="0" xfId="0" applyFont="1" applyFill="1" applyNumberFormat="1"/>
    <xf numFmtId="0" fontId="77" fillId="37" borderId="0" xfId="0" applyFont="1" applyFill="1" applyNumberFormat="1">
      <alignment vertical="center" wrapText="1"/>
    </xf>
    <xf numFmtId="0" fontId="55" fillId="37" borderId="14" xfId="0" applyFont="1" applyFill="1" applyBorder="1" applyNumberFormat="1">
      <alignment horizontal="center" vertical="center"/>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0" fontId="89" fillId="37" borderId="0" xfId="0" applyFont="1" applyFill="1" applyNumberFormat="1"/>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0" fontId="23" fillId="37" borderId="14" xfId="0" applyFont="1" applyFill="1" applyBorder="1" applyNumberFormat="1">
      <alignmen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14" fontId="23" fillId="42" borderId="14" xfId="0" applyFont="1" applyFill="1" applyBorder="1" applyNumberFormat="1">
      <alignment horizontal="left" vertical="center" wrapText="1" indent="1"/>
      <protection locked="0"/>
    </xf>
    <xf numFmtId="0" fontId="117" fillId="0" borderId="0" xfId="0" applyFont="1" applyNumberFormat="1">
      <alignment vertical="center"/>
    </xf>
    <xf numFmtId="0" fontId="45" fillId="0" borderId="0" xfId="0" applyFont="1" applyNumberFormat="1">
      <alignment horizontal="center" vertical="center" wrapText="1"/>
    </xf>
    <xf numFmtId="4" fontId="23" fillId="0" borderId="19" xfId="0" applyFont="1" applyBorder="1" applyNumberFormat="1">
      <alignment horizontal="center" vertical="center" wrapText="1"/>
    </xf>
    <xf numFmtId="165" fontId="23" fillId="0" borderId="39" xfId="0" applyFont="1" applyBorder="1" applyNumberFormat="1">
      <alignment horizontal="center" vertical="center" wrapText="1"/>
    </xf>
    <xf numFmtId="165"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14" fontId="23" fillId="43" borderId="14" xfId="0" applyFont="1" applyFill="1" applyBorder="1" applyNumberFormat="1">
      <alignment horizontal="left"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31" xfId="0" applyFont="1" applyFill="1" applyBorder="1" applyNumberFormat="1">
      <alignment horizontal="right" vertical="center" wrapText="1"/>
    </xf>
    <xf numFmtId="0" fontId="117" fillId="0" borderId="0" xfId="0" applyFont="1" applyNumberFormat="1">
      <alignment vertical="center" wrapText="1"/>
    </xf>
    <xf numFmtId="49" fontId="0" fillId="0" borderId="0" xfId="0" applyFont="1" applyNumberFormat="1">
      <alignment vertical="top"/>
    </xf>
    <xf numFmtId="0" fontId="55" fillId="0" borderId="0" xfId="0" applyFont="1" applyNumberFormat="1">
      <alignment vertical="center"/>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38" borderId="14" xfId="0" applyFont="1" applyFill="1" applyBorder="1" applyNumberFormat="1">
      <alignment horizontal="left" vertical="center" wrapText="1" indent="1"/>
    </xf>
    <xf numFmtId="167" fontId="0" fillId="42" borderId="17" xfId="0" applyFont="1" applyFill="1" applyBorder="1" applyNumberFormat="1">
      <alignment horizontal="left" vertical="center" wrapText="1" indent="1"/>
      <protection locked="0"/>
    </xf>
    <xf numFmtId="168" fontId="23" fillId="42" borderId="14" xfId="0" applyFont="1" applyFill="1" applyBorder="1" applyNumberFormat="1">
      <alignment horizontal="left" vertical="center" wrapText="1" indent="1"/>
      <protection locked="0"/>
    </xf>
    <xf numFmtId="167" fontId="55" fillId="0" borderId="0" xfId="0" applyFont="1" applyNumberFormat="1">
      <alignment horizontal="center" vertical="center" wrapText="1"/>
    </xf>
    <xf numFmtId="165" fontId="23" fillId="0" borderId="19"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 fontId="23" fillId="0" borderId="38"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25"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25" xfId="0" applyFont="1" applyFill="1" applyBorder="1" applyNumberFormat="1">
      <alignment horizontal="left" vertical="center" wrapText="1" indent="1"/>
    </xf>
    <xf numFmtId="14" fontId="23" fillId="42" borderId="25" xfId="0" applyFont="1" applyFill="1" applyBorder="1" applyNumberFormat="1">
      <alignment horizontal="left" vertical="center" wrapText="1" indent="1"/>
      <protection locked="0"/>
    </xf>
    <xf numFmtId="0" fontId="23" fillId="0" borderId="31" xfId="0" applyFont="1" applyBorder="1" applyNumberFormat="1">
      <alignment horizontal="left" vertical="top" wrapText="1"/>
    </xf>
    <xf numFmtId="49" fontId="0" fillId="0" borderId="0" xfId="0" applyFont="1" applyNumberFormat="1">
      <alignment vertical="top"/>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5" fontId="23" fillId="0" borderId="25" xfId="0" applyFont="1" applyBorder="1" applyNumberFormat="1">
      <alignment horizontal="center" vertical="center" wrapText="1"/>
    </xf>
    <xf numFmtId="0" fontId="23" fillId="0" borderId="25" xfId="0" applyFont="1" applyBorder="1" applyNumberFormat="1">
      <alignment horizontal="left" vertical="center" wrapText="1" indent="1"/>
    </xf>
    <xf numFmtId="14" fontId="23" fillId="0" borderId="25" xfId="0" applyFont="1" applyBorder="1" applyNumberFormat="1">
      <alignment horizontal="left" vertical="center" wrapText="1" indent="1"/>
    </xf>
    <xf numFmtId="0" fontId="45" fillId="0" borderId="0" xfId="0" applyFont="1" applyNumberFormat="1">
      <alignment horizontal="center" vertical="center" wrapText="1"/>
    </xf>
    <xf numFmtId="0" fontId="55" fillId="0" borderId="0" xfId="0" applyFont="1" applyNumberFormat="1">
      <alignment vertical="center"/>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34" fillId="40" borderId="29" xfId="0" applyFont="1" applyFill="1" applyBorder="1" applyNumberFormat="1">
      <alignment horizontal="left" vertical="center" wrapText="1"/>
    </xf>
    <xf numFmtId="49" fontId="34" fillId="40" borderId="31" xfId="0" applyFont="1" applyFill="1" applyBorder="1" applyNumberFormat="1">
      <alignment horizontal="left" vertical="center" wrapText="1"/>
    </xf>
    <xf numFmtId="0" fontId="23" fillId="37" borderId="38" xfId="0" applyFont="1" applyFill="1" applyBorder="1" applyNumberFormat="1">
      <alignment vertical="center" wrapText="1"/>
    </xf>
    <xf numFmtId="0" fontId="55" fillId="0" borderId="0" xfId="0" applyFont="1" applyNumberFormat="1">
      <alignment horizontal="center"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14"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7" xfId="0" applyFont="1" applyBorder="1" applyNumberFormat="1">
      <alignment horizontal="left" vertical="center" wrapText="1"/>
    </xf>
    <xf numFmtId="0" fontId="50" fillId="0" borderId="0" xfId="0" applyFont="1" applyNumberFormat="1">
      <alignment horizontal="center" vertical="center" wrapText="1"/>
    </xf>
    <xf numFmtId="0" fontId="23" fillId="0" borderId="0" xfId="0" applyFont="1" applyNumberFormat="1">
      <alignment horizontal="center" vertical="center" wrapText="1"/>
    </xf>
    <xf numFmtId="165" fontId="53" fillId="0" borderId="21" xfId="0" applyFont="1" applyBorder="1" applyNumberFormat="1">
      <alignment horizontal="center"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0" fontId="55" fillId="0" borderId="0" xfId="0" applyFont="1" applyNumberFormat="1">
      <alignment horizontal="center" vertical="center"/>
    </xf>
    <xf numFmtId="165" fontId="23" fillId="0" borderId="14" xfId="0" applyFont="1" applyBorder="1" applyNumberFormat="1">
      <alignment horizontal="center"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43" borderId="32" xfId="0" applyFont="1" applyFill="1" applyBorder="1" applyNumberFormat="1">
      <alignment horizontal="left" vertical="center" wrapText="1"/>
    </xf>
    <xf numFmtId="0" fontId="23" fillId="0" borderId="25" xfId="0" applyFont="1" applyBorder="1" applyNumberFormat="1">
      <alignment horizontal="center" vertical="center" wrapText="1"/>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23" fillId="0" borderId="14" xfId="0" applyFont="1" applyBorder="1" applyNumberFormat="1">
      <alignment horizontal="left" vertical="top" wrapText="1"/>
    </xf>
    <xf numFmtId="49" fontId="23" fillId="43" borderId="25" xfId="0" applyFont="1" applyFill="1" applyBorder="1" applyNumberFormat="1">
      <alignment horizontal="left" vertical="center" wrapText="1"/>
    </xf>
    <xf numFmtId="49" fontId="129" fillId="0" borderId="14" xfId="0" applyFont="1" applyBorder="1" applyNumberFormat="1">
      <alignment horizontal="left" vertical="top"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37" borderId="0" xfId="0" applyFont="1" applyFill="1" applyNumberFormat="1"/>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0" fontId="51" fillId="37" borderId="0" xfId="0" applyFont="1" applyFill="1" applyNumberFormat="1">
      <alignment horizontal="center" vertical="center" wrapText="1"/>
    </xf>
    <xf numFmtId="0" fontId="40" fillId="37" borderId="0" xfId="0" applyFont="1" applyFill="1" applyNumberFormat="1"/>
    <xf numFmtId="0" fontId="23" fillId="37" borderId="14" xfId="0" applyFont="1" applyFill="1" applyBorder="1" applyNumberFormat="1">
      <alignment horizontal="center" vertical="center" wrapTex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8" fillId="40" borderId="17" xfId="0" applyFont="1" applyFill="1" applyBorder="1" applyNumberFormat="1">
      <alignment horizontal="left" vertical="center"/>
    </xf>
    <xf numFmtId="49" fontId="52" fillId="40" borderId="17"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5" fillId="0" borderId="0" xfId="0" applyFont="1" applyNumberFormat="1">
      <alignment horizontal="center" vertical="center"/>
    </xf>
    <xf numFmtId="49" fontId="23" fillId="0" borderId="0" xfId="0" applyFont="1" applyNumberFormat="1">
      <alignment vertical="top"/>
    </xf>
    <xf numFmtId="0" fontId="45" fillId="37" borderId="0" xfId="0" applyFont="1" applyFill="1" applyNumberFormat="1">
      <alignment horizontal="center" vertical="center"/>
    </xf>
    <xf numFmtId="0" fontId="23" fillId="37" borderId="0" xfId="0" applyFont="1" applyFill="1" applyNumberFormat="1"/>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0" fontId="69" fillId="0" borderId="0" xfId="0" applyFont="1" applyNumberFormat="1"/>
    <xf numFmtId="0" fontId="23" fillId="0" borderId="14" xfId="0" applyFont="1" applyBorder="1" applyNumberFormat="1">
      <alignment horizontal="center" vertical="center" wrapText="1"/>
    </xf>
    <xf numFmtId="0" fontId="23" fillId="37" borderId="19" xfId="0" applyFont="1" applyFill="1" applyBorder="1" applyNumberFormat="1">
      <alignment horizontal="center" vertical="center"/>
    </xf>
    <xf numFmtId="49" fontId="23" fillId="0" borderId="19" xfId="0" applyFont="1" applyBorder="1" applyNumberFormat="1">
      <alignment horizontal="left"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49" fontId="53" fillId="0" borderId="0" xfId="0" applyFont="1" applyNumberFormat="1">
      <alignment horizontal="right" vertical="top"/>
    </xf>
    <xf numFmtId="49" fontId="23" fillId="0" borderId="0" xfId="0" applyFont="1" applyNumberFormat="1">
      <alignment horizontal="left" vertical="top" wrapText="1"/>
    </xf>
    <xf numFmtId="49" fontId="53" fillId="0" borderId="0" xfId="0" applyFont="1" applyNumberFormat="1">
      <alignment vertical="top"/>
    </xf>
    <xf numFmtId="0" fontId="23" fillId="0" borderId="0" xfId="0" applyFont="1" applyNumberFormat="1"/>
    <xf numFmtId="0" fontId="45" fillId="0" borderId="0" xfId="0" applyFont="1" applyNumberFormat="1">
      <alignment horizontal="center" vertical="center"/>
    </xf>
    <xf numFmtId="0" fontId="23" fillId="0" borderId="0" xfId="0" applyFont="1" applyNumberFormat="1"/>
    <xf numFmtId="49" fontId="23" fillId="0" borderId="14" xfId="0" applyFont="1" applyBorder="1" applyNumberFormat="1">
      <alignment horizontal="left" vertical="center" wrapText="1"/>
    </xf>
    <xf numFmtId="49" fontId="48" fillId="40" borderId="15" xfId="0" applyFont="1" applyFill="1" applyBorder="1" applyNumberFormat="1">
      <alignment horizontal="left" vertical="center"/>
    </xf>
    <xf numFmtId="49" fontId="0" fillId="0" borderId="17" xfId="0" applyFont="1" applyBorder="1" applyNumberFormat="1">
      <alignment horizontal="left" vertical="center" indent="1"/>
    </xf>
    <xf numFmtId="49" fontId="70" fillId="0" borderId="0" xfId="0" applyFont="1" applyNumberFormat="1">
      <alignment vertical="top"/>
    </xf>
    <xf numFmtId="49" fontId="0" fillId="0" borderId="27" xfId="0" applyFont="1" applyBorder="1" applyNumberFormat="1">
      <alignment horizontal="center" vertical="center"/>
    </xf>
    <xf numFmtId="49" fontId="0" fillId="0" borderId="0" xfId="0" applyFont="1" applyNumberFormat="1">
      <alignment vertical="top"/>
    </xf>
    <xf numFmtId="49" fontId="0" fillId="41" borderId="0" xfId="0" applyFont="1" applyFill="1" applyNumberFormat="1">
      <alignment vertical="top"/>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49" fontId="23" fillId="39" borderId="14" xfId="0" applyFont="1" applyFill="1" applyBorder="1" applyNumberFormat="1">
      <alignment horizontal="left" vertical="center" wrapText="1"/>
      <protection locked="0"/>
    </xf>
    <xf numFmtId="0" fontId="50" fillId="0" borderId="0" xfId="0" applyFont="1" applyNumberFormat="1">
      <alignment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14" fontId="23" fillId="43" borderId="14" xfId="0" applyFont="1" applyFill="1" applyBorder="1" applyNumberFormat="1">
      <alignment horizontal="left" vertical="center" wrapText="1" indent="1"/>
    </xf>
    <xf numFmtId="49" fontId="23" fillId="38" borderId="14" xfId="0" applyFont="1" applyFill="1" applyBorder="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0" fillId="0" borderId="0" xfId="0" applyFont="1" applyNumberFormat="1">
      <alignment vertical="center"/>
    </xf>
    <xf numFmtId="0" fontId="44" fillId="0" borderId="26" xfId="0" applyFont="1" applyBorder="1" applyNumberFormat="1">
      <alignment horizontal="center" vertical="center" wrapText="1"/>
    </xf>
    <xf numFmtId="14" fontId="86" fillId="0" borderId="19" xfId="0" applyFont="1" applyBorder="1" applyNumberFormat="1">
      <alignment horizontal="center" vertical="center" wrapText="1"/>
    </xf>
    <xf numFmtId="0" fontId="80" fillId="0" borderId="14" xfId="0" applyFont="1" applyBorder="1" applyNumberFormat="1">
      <alignment horizontal="left" vertical="center" wrapText="1" indent="1"/>
    </xf>
    <xf numFmtId="0" fontId="86"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0" fontId="79" fillId="0" borderId="0" xfId="0" applyFont="1" applyNumberFormat="1">
      <alignment vertical="center"/>
    </xf>
    <xf numFmtId="14" fontId="86" fillId="0" borderId="38" xfId="0" applyFont="1" applyBorder="1" applyNumberFormat="1">
      <alignment horizontal="center" vertical="center" wrapText="1"/>
    </xf>
    <xf numFmtId="0" fontId="80" fillId="0" borderId="14" xfId="0" applyFont="1" applyBorder="1" applyNumberFormat="1">
      <alignment horizontal="left" vertical="top" indent="1"/>
    </xf>
    <xf numFmtId="49" fontId="0" fillId="0" borderId="14" xfId="0" applyFont="1" applyBorder="1" applyNumberFormat="1">
      <alignment vertical="top"/>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44" fillId="0" borderId="14" xfId="0" applyFont="1" applyBorder="1" applyNumberFormat="1">
      <alignment horizontal="center" vertical="center" wrapText="1"/>
    </xf>
    <xf numFmtId="49" fontId="23" fillId="0" borderId="15"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3" borderId="16" xfId="0" applyFont="1" applyFill="1" applyBorder="1" applyNumberFormat="1">
      <alignment horizontal="left" vertical="center" wrapText="1"/>
    </xf>
    <xf numFmtId="49" fontId="0" fillId="0" borderId="14" xfId="0" applyFont="1" applyBorder="1" applyNumberFormat="1">
      <alignment vertical="top"/>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0" fillId="0" borderId="0" xfId="0" applyFont="1" applyNumberFormat="1">
      <alignment vertical="top"/>
    </xf>
    <xf numFmtId="49" fontId="23" fillId="0" borderId="0" xfId="0" applyFont="1" applyNumberFormat="1">
      <alignment vertical="top"/>
    </xf>
    <xf numFmtId="0" fontId="45" fillId="37" borderId="0" xfId="0" applyFont="1" applyFill="1" applyNumberFormat="1">
      <alignment vertical="top" wrapText="1"/>
    </xf>
    <xf numFmtId="0" fontId="23" fillId="37" borderId="16" xfId="0" applyFont="1" applyFill="1" applyBorder="1" applyNumberFormat="1">
      <alignment horizontal="center" vertical="center" wrapText="1"/>
    </xf>
    <xf numFmtId="0" fontId="55" fillId="37" borderId="14" xfId="0" applyFont="1" applyFill="1" applyBorder="1" applyNumberFormat="1">
      <alignment horizontal="center" vertical="center" wrapText="1"/>
    </xf>
    <xf numFmtId="14" fontId="23" fillId="43" borderId="31" xfId="0" applyFont="1" applyFill="1" applyBorder="1" applyNumberFormat="1">
      <alignment horizontal="left" vertical="center" wrapText="1"/>
    </xf>
    <xf numFmtId="49" fontId="127" fillId="42" borderId="14" xfId="0" applyFont="1" applyFill="1" applyBorder="1" applyNumberFormat="1">
      <alignment horizontal="left" vertical="center" wrapText="1"/>
      <protection locked="0"/>
    </xf>
    <xf numFmtId="49" fontId="0" fillId="0" borderId="14" xfId="0" applyFont="1" applyBorder="1" applyNumberFormat="1">
      <alignment horizontal="center" vertical="center" wrapText="1"/>
    </xf>
    <xf numFmtId="0" fontId="23" fillId="43" borderId="16" xfId="0" applyFont="1" applyFill="1" applyBorder="1" applyNumberFormat="1">
      <alignment horizontal="left" vertical="center" wrapText="1"/>
    </xf>
    <xf numFmtId="0" fontId="0" fillId="0" borderId="25" xfId="0" applyFont="1" applyBorder="1" applyNumberFormat="1">
      <alignment horizontal="center" vertical="center" wrapText="1"/>
    </xf>
    <xf numFmtId="49" fontId="23" fillId="0" borderId="0" xfId="0" applyFont="1" applyNumberFormat="1">
      <alignment vertical="top"/>
    </xf>
    <xf numFmtId="49" fontId="4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49"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45" fillId="0" borderId="26" xfId="0" applyFont="1" applyBorder="1" applyNumberFormat="1">
      <alignment horizontal="center" vertical="center" wrapTex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2" borderId="14" xfId="0" applyFont="1" applyFill="1" applyBorder="1" applyNumberFormat="1">
      <alignment horizontal="left" vertical="top" wrapText="1"/>
      <protection locked="0"/>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0" fontId="23" fillId="39" borderId="14" xfId="0" applyFont="1" applyFill="1" applyBorder="1" applyNumberFormat="1">
      <alignment horizontal="left" vertical="top" wrapText="1"/>
      <protection locked="0"/>
    </xf>
    <xf numFmtId="49" fontId="23" fillId="43" borderId="14" xfId="0" applyFont="1" applyFill="1" applyBorder="1" applyNumberFormat="1">
      <alignment horizontal="center" vertical="top" wrapText="1"/>
    </xf>
    <xf numFmtId="0" fontId="23" fillId="0" borderId="38" xfId="0" applyFont="1" applyBorder="1" applyNumberFormat="1">
      <alignment horizontal="center" vertical="center" wrapText="1"/>
    </xf>
    <xf numFmtId="0" fontId="23"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1"/>
      <protection locked="0"/>
    </xf>
    <xf numFmtId="0" fontId="23" fillId="0" borderId="26" xfId="0" applyFont="1" applyBorder="1" applyNumberFormat="1">
      <alignment vertical="top" wrapText="1"/>
    </xf>
    <xf numFmtId="49" fontId="23" fillId="43" borderId="25" xfId="0" applyFont="1" applyFill="1" applyBorder="1" applyNumberFormat="1">
      <alignment horizontal="center" vertical="top" wrapText="1"/>
    </xf>
    <xf numFmtId="49" fontId="0" fillId="42"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6" xfId="0" applyFont="1" applyFill="1" applyBorder="1" applyNumberFormat="1">
      <alignment horizontal="center" vertical="top" wrapText="1"/>
    </xf>
    <xf numFmtId="49" fontId="23" fillId="0" borderId="38" xfId="0" applyFont="1" applyBorder="1" applyNumberFormat="1">
      <alignment horizontal="center" vertical="top" wrapText="1"/>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0" borderId="40" xfId="0" applyFont="1" applyBorder="1" applyNumberFormat="1">
      <alignment vertical="center" wrapText="1"/>
    </xf>
    <xf numFmtId="49" fontId="23" fillId="38" borderId="14" xfId="0" applyFont="1" applyFill="1" applyBorder="1" applyNumberFormat="1">
      <alignment horizontal="center" vertical="center" wrapText="1"/>
    </xf>
    <xf numFmtId="49" fontId="23" fillId="0" borderId="15" xfId="0" applyFont="1" applyBorder="1" applyNumberFormat="1">
      <alignment horizontal="center" vertical="center" wrapText="1"/>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23" fillId="43" borderId="16" xfId="0" applyFont="1" applyFill="1" applyBorder="1" applyNumberFormat="1">
      <alignment horizontal="center" vertical="center" wrapText="1"/>
    </xf>
    <xf numFmtId="49" fontId="110" fillId="40" borderId="45" xfId="0" applyFont="1" applyFill="1" applyBorder="1" applyNumberFormat="1">
      <alignment horizontal="left" vertical="center" indent="1"/>
    </xf>
    <xf numFmtId="49" fontId="99" fillId="40" borderId="45" xfId="0" applyFont="1" applyFill="1" applyBorder="1" applyNumberFormat="1">
      <alignment horizontal="center" vertical="center"/>
    </xf>
    <xf numFmtId="3" fontId="23" fillId="42" borderId="14" xfId="0" applyFont="1" applyFill="1" applyBorder="1" applyNumberFormat="1">
      <alignment horizontal="center" vertical="center" wrapText="1"/>
      <protection locked="0"/>
    </xf>
    <xf numFmtId="49" fontId="128" fillId="0" borderId="15" xfId="0" applyFont="1" applyBorder="1" applyNumberFormat="1">
      <alignment horizontal="center" vertical="center" wrapText="1"/>
    </xf>
    <xf numFmtId="0" fontId="53" fillId="0" borderId="14" xfId="0" applyFont="1" applyBorder="1" applyNumberFormat="1">
      <alignment horizontal="center" vertical="center"/>
    </xf>
    <xf numFmtId="49" fontId="23" fillId="43" borderId="19"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23" fillId="43" borderId="38" xfId="0" applyFont="1" applyFill="1" applyBorder="1" applyNumberFormat="1">
      <alignment horizontal="left" vertical="center" wrapText="1" indent="1"/>
    </xf>
    <xf numFmtId="49" fontId="23" fillId="38" borderId="14" xfId="0" applyFont="1" applyFill="1" applyBorder="1" applyNumberFormat="1">
      <alignment horizontal="left" vertical="center" wrapText="1"/>
    </xf>
    <xf numFmtId="49" fontId="128" fillId="0" borderId="0" xfId="0" applyFont="1" applyNumberFormat="1">
      <alignment horizontal="center" vertical="top" wrapText="1"/>
    </xf>
    <xf numFmtId="0" fontId="53" fillId="0" borderId="14" xfId="0" applyFont="1" applyBorder="1" applyNumberFormat="1">
      <alignment horizontal="center" vertical="center"/>
    </xf>
    <xf numFmtId="0" fontId="53" fillId="43" borderId="14" xfId="0" applyFont="1" applyFill="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43" borderId="25" xfId="0" applyFont="1" applyFill="1" applyBorder="1" applyNumberFormat="1">
      <alignment horizontal="left" vertical="center" wrapText="1" indent="1"/>
    </xf>
    <xf numFmtId="49" fontId="48" fillId="40" borderId="17" xfId="0" applyFont="1" applyFill="1" applyBorder="1" applyNumberFormat="1">
      <alignment horizontal="left" vertical="center" inden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49" fontId="23" fillId="38" borderId="77" xfId="0" applyFont="1" applyFill="1" applyBorder="1" applyNumberFormat="1">
      <alignment horizontal="center" vertical="center" wrapText="1"/>
    </xf>
    <xf numFmtId="0" fontId="0" fillId="40" borderId="52" xfId="0" applyFont="1" applyFill="1" applyBorder="1" applyNumberFormat="1">
      <alignment horizontal="left" vertical="center"/>
    </xf>
    <xf numFmtId="49" fontId="48" fillId="40" borderId="53" xfId="0" applyFont="1" applyFill="1" applyBorder="1" applyNumberFormat="1">
      <alignment horizontal="left" vertical="center" inden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0" fontId="23" fillId="40" borderId="55" xfId="0" applyFont="1" applyFill="1" applyBorder="1" applyNumberFormat="1">
      <alignment vertical="center" wrapText="1"/>
    </xf>
    <xf numFmtId="49" fontId="0" fillId="38" borderId="38" xfId="0" applyFont="1" applyFill="1" applyBorder="1" applyNumberFormat="1">
      <alignment vertical="top"/>
    </xf>
    <xf numFmtId="49" fontId="23" fillId="43" borderId="19" xfId="0" applyFont="1" applyFill="1" applyBorder="1" applyNumberFormat="1">
      <alignment vertical="center" wrapText="1"/>
    </xf>
    <xf numFmtId="49" fontId="0" fillId="42" borderId="38" xfId="0" applyFont="1" applyFill="1" applyBorder="1" applyNumberFormat="1">
      <alignment vertical="top"/>
      <protection locked="0"/>
    </xf>
    <xf numFmtId="49" fontId="128" fillId="0" borderId="14" xfId="0" applyFont="1" applyBorder="1" applyNumberFormat="1">
      <alignment horizontal="center" vertical="center" wrapText="1"/>
    </xf>
    <xf numFmtId="49" fontId="0" fillId="42" borderId="19" xfId="0" applyFont="1" applyFill="1" applyBorder="1" applyNumberFormat="1">
      <alignment vertical="top"/>
      <protection locked="0"/>
    </xf>
    <xf numFmtId="14" fontId="23" fillId="43" borderId="38" xfId="0" applyFont="1" applyFill="1" applyBorder="1" applyNumberFormat="1">
      <alignment horizontal="left" vertical="center" wrapText="1" inden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0" fontId="53" fillId="0" borderId="15" xfId="0" applyFont="1" applyBorder="1" applyNumberFormat="1">
      <alignment horizontal="center" vertical="center"/>
    </xf>
    <xf numFmtId="0" fontId="108" fillId="0" borderId="49" xfId="0" applyFont="1" applyBorder="1" applyNumberFormat="1">
      <alignment horizontal="left" vertical="center" indent="1"/>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49" fontId="0" fillId="0" borderId="0" xfId="0" applyFont="1" applyNumberFormat="1">
      <alignment vertical="top"/>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39" borderId="14" xfId="0" applyFont="1" applyFill="1" applyBorder="1" applyNumberFormat="1">
      <alignment horizontal="left" vertical="center"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48" fillId="0" borderId="14" xfId="0" applyFont="1" applyBorder="1" applyNumberFormat="1">
      <alignment horizontal="left" vertical="center" indent="1"/>
    </xf>
    <xf numFmtId="0" fontId="54" fillId="0" borderId="0" xfId="0" applyFont="1" applyNumberFormat="1">
      <alignment horizontal="center" vertical="top"/>
    </xf>
    <xf numFmtId="49" fontId="23" fillId="0" borderId="25" xfId="0" applyFont="1" applyBorder="1" applyNumberFormat="1">
      <alignment horizontal="center" vertical="center" wrapText="1"/>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49" fontId="55" fillId="0" borderId="15" xfId="0" applyFont="1" applyBorder="1" applyNumberFormat="1">
      <alignment horizontal="left" vertical="center" indent="1"/>
    </xf>
    <xf numFmtId="0" fontId="55" fillId="0" borderId="14" xfId="0" applyFont="1" applyBorder="1" applyNumberFormat="1">
      <alignment horizontal="left" vertical="center" indent="1"/>
    </xf>
    <xf numFmtId="49" fontId="0" fillId="0" borderId="21" xfId="0" applyFont="1" applyBorder="1" applyNumberFormat="1">
      <alignment vertical="top"/>
    </xf>
    <xf numFmtId="49" fontId="45" fillId="0" borderId="19"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0" fillId="0" borderId="15" xfId="0" applyFont="1" applyBorder="1" applyNumberFormat="1">
      <alignment horizontal="center" vertical="center" wrapText="1"/>
    </xf>
    <xf numFmtId="0" fontId="0" fillId="0" borderId="14" xfId="0" applyFont="1" applyBorder="1" applyNumberFormat="1">
      <alignment horizontal="left" vertical="center" wrapText="1"/>
    </xf>
    <xf numFmtId="49" fontId="0" fillId="0" borderId="14" xfId="0" applyFont="1" applyBorder="1" applyNumberFormat="1">
      <alignment horizontal="center" vertical="center"/>
    </xf>
    <xf numFmtId="0" fontId="0" fillId="0" borderId="14" xfId="0" applyFont="1" applyBorder="1" applyNumberFormat="1">
      <alignment horizontal="center" vertical="center" wrapText="1"/>
    </xf>
    <xf numFmtId="4" fontId="0" fillId="38" borderId="14" xfId="0" applyFont="1" applyFill="1" applyBorder="1" applyNumberFormat="1">
      <alignment horizontal="right" vertical="center" wrapText="1"/>
    </xf>
    <xf numFmtId="49" fontId="23" fillId="0" borderId="38" xfId="0" applyFont="1" applyBorder="1" applyNumberFormat="1">
      <alignment horizontal="center" vertical="top"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2" borderId="14" xfId="0" applyFont="1" applyFill="1" applyBorder="1" applyNumberFormat="1">
      <alignment horizontal="left" vertical="center" wrapText="1"/>
      <protection locked="0"/>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23" fillId="0" borderId="25" xfId="0" applyFont="1" applyBorder="1" applyNumberFormat="1">
      <alignment horizontal="center" vertical="top" wrapText="1"/>
    </xf>
    <xf numFmtId="49" fontId="23" fillId="42" borderId="14" xfId="0" applyFont="1" applyFill="1" applyBorder="1" applyNumberFormat="1">
      <alignment horizontal="left" vertical="center" wrapText="1" indent="1"/>
      <protection locked="0"/>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0" fontId="23" fillId="43" borderId="14" xfId="0" applyFont="1" applyFill="1" applyBorder="1" applyNumberFormat="1">
      <alignment horizontal="left" vertical="top" wrapText="1"/>
    </xf>
    <xf numFmtId="49" fontId="23"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49" fontId="0" fillId="0" borderId="14" xfId="0" applyFont="1" applyBorder="1" applyNumberFormat="1">
      <alignment horizontal="left" vertical="top"/>
    </xf>
    <xf numFmtId="49" fontId="0" fillId="43" borderId="14"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23" fillId="43" borderId="0" xfId="0" applyFont="1" applyFill="1" applyNumberFormat="1">
      <alignment horizontal="center" vertical="center" wrapText="1"/>
    </xf>
    <xf numFmtId="0" fontId="48" fillId="0" borderId="38" xfId="0" applyFont="1" applyBorder="1" applyNumberFormat="1">
      <alignment horizontal="left" vertical="center"/>
    </xf>
    <xf numFmtId="49" fontId="0" fillId="43" borderId="38" xfId="0" applyFont="1" applyFill="1" applyBorder="1" applyNumberFormat="1">
      <alignment horizontal="left" vertical="center" wrapText="1"/>
      <protection locked="0"/>
    </xf>
    <xf numFmtId="49" fontId="23" fillId="43" borderId="38" xfId="0" applyFont="1" applyFill="1" applyBorder="1" applyNumberFormat="1">
      <alignment horizontal="center" vertical="center" wrapText="1"/>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49" fontId="0" fillId="0" borderId="0" xfId="0" applyFont="1" applyNumberFormat="1">
      <alignment vertical="top"/>
    </xf>
    <xf numFmtId="0" fontId="0" fillId="0" borderId="0" xfId="0" applyFont="1" applyNumberFormat="1">
      <alignment vertical="center"/>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0" fillId="0" borderId="24"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9" xfId="0" applyFont="1" applyBorder="1" applyNumberFormat="1">
      <alignment vertical="center"/>
    </xf>
    <xf numFmtId="49" fontId="23" fillId="0" borderId="38" xfId="0" applyFont="1" applyBorder="1" applyNumberFormat="1">
      <alignment horizontal="center" vertical="center"/>
    </xf>
    <xf numFmtId="49" fontId="23" fillId="0" borderId="38" xfId="0" applyFont="1" applyBorder="1" applyNumberFormat="1">
      <alignment vertical="center" wrapText="1"/>
    </xf>
    <xf numFmtId="0" fontId="23" fillId="0" borderId="26" xfId="0" applyFont="1" applyBorder="1" applyNumberFormat="1">
      <alignment horizontal="center" vertical="center"/>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45" fillId="0" borderId="38" xfId="0" applyFont="1" applyBorder="1" applyNumberFormat="1">
      <alignment vertical="center" wrapText="1"/>
    </xf>
    <xf numFmtId="0" fontId="23" fillId="43" borderId="19" xfId="0" applyFont="1" applyFill="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horizontal="left" vertical="center" wrapText="1"/>
    </xf>
    <xf numFmtId="0"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vertical="center" wrapText="1"/>
    </xf>
    <xf numFmtId="0" fontId="23" fillId="0" borderId="38" xfId="0" applyFont="1" applyBorder="1" applyNumberFormat="1">
      <alignment horizontal="left" vertical="center" wrapText="1"/>
    </xf>
    <xf numFmtId="49" fontId="23" fillId="0" borderId="38" xfId="0" applyFont="1" applyBorder="1" applyNumberFormat="1">
      <alignment horizontal="left" vertical="center" wrapText="1"/>
    </xf>
    <xf numFmtId="0" fontId="23" fillId="43" borderId="38" xfId="0" applyFont="1" applyFill="1" applyBorder="1" applyNumberFormat="1">
      <alignment horizontal="left" vertical="center" wrapText="1"/>
    </xf>
    <xf numFmtId="49" fontId="23" fillId="0" borderId="38" xfId="0" applyFont="1" applyBorder="1" applyNumberFormat="1">
      <alignment horizontal="center"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23" fillId="0" borderId="38" xfId="0" applyFont="1" applyBorder="1" applyNumberFormat="1">
      <alignment horizontal="center" vertical="center" wrapText="1"/>
    </xf>
    <xf numFmtId="0" fontId="48" fillId="40" borderId="39"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45" fillId="0" borderId="38" xfId="0" applyFont="1" applyBorder="1" applyNumberFormat="1">
      <alignment horizontal="center" vertical="center" wrapText="1"/>
    </xf>
    <xf numFmtId="0" fontId="48" fillId="40" borderId="39" xfId="0" applyFont="1" applyFill="1" applyBorder="1" applyNumberFormat="1">
      <alignment vertical="center"/>
    </xf>
    <xf numFmtId="0" fontId="48" fillId="0" borderId="38" xfId="0" applyFont="1" applyBorder="1" applyNumberFormat="1">
      <alignment horizontal="left" vertical="center"/>
    </xf>
    <xf numFmtId="49" fontId="23" fillId="39" borderId="19" xfId="0" applyFont="1" applyFill="1" applyBorder="1" applyNumberFormat="1">
      <alignment horizontal="left" vertical="center" wrapText="1"/>
      <protection locked="0"/>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0" borderId="21" xfId="0" applyFont="1" applyBorder="1" applyNumberFormat="1">
      <alignment horizontal="lef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49" fontId="100" fillId="0" borderId="14" xfId="0" applyFont="1" applyBorder="1" applyNumberFormat="1">
      <alignment vertical="top" wrapText="1"/>
    </xf>
    <xf numFmtId="49" fontId="96" fillId="0" borderId="14" xfId="0" applyFont="1" applyBorder="1" applyNumberFormat="1">
      <alignment horizontal="center" vertical="top" wrapText="1"/>
    </xf>
    <xf numFmtId="49" fontId="96" fillId="34" borderId="14" xfId="0" applyFont="1" applyFill="1" applyBorder="1" applyNumberFormat="1">
      <alignment horizontal="center" vertical="top"/>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0" fontId="100" fillId="0" borderId="14" xfId="0" applyFont="1" applyBorder="1" applyNumberFormat="1">
      <alignment vertical="top" wrapText="1"/>
    </xf>
    <xf numFmtId="49" fontId="100" fillId="0" borderId="0" xfId="0" applyFont="1" applyNumberFormat="1">
      <alignment vertical="top" wrapText="1"/>
    </xf>
    <xf numFmtId="49" fontId="100" fillId="0" borderId="0" xfId="0" applyFont="1" applyNumberFormat="1">
      <alignment vertical="top"/>
    </xf>
    <xf numFmtId="49" fontId="100" fillId="0" borderId="0" xfId="0" applyFont="1" applyNumberFormat="1">
      <alignment horizontal="center" vertical="top" wrapText="1"/>
    </xf>
    <xf numFmtId="49" fontId="100" fillId="0" borderId="14" xfId="0" applyFont="1" applyBorder="1" applyNumberFormat="1">
      <alignment horizontal="center" vertical="top" wrapText="1"/>
    </xf>
    <xf numFmtId="49" fontId="100" fillId="0" borderId="14" xfId="0" applyFont="1" applyBorder="1" applyNumberFormat="1">
      <alignment horizontal="center" vertical="top" wrapText="1"/>
    </xf>
    <xf numFmtId="49" fontId="100" fillId="34" borderId="14" xfId="0" applyFont="1" applyFill="1" applyBorder="1" applyNumberFormat="1">
      <alignment horizontal="center" vertical="top" wrapText="1"/>
    </xf>
    <xf numFmtId="49" fontId="96" fillId="34" borderId="14" xfId="0" applyFont="1" applyFill="1" applyBorder="1" applyNumberFormat="1">
      <alignment horizontal="center" vertical="top" wrapText="1"/>
    </xf>
    <xf numFmtId="49" fontId="100" fillId="0" borderId="14" xfId="0" applyFont="1" applyBorder="1" applyNumberFormat="1">
      <alignment horizontal="left" vertical="top" wrapText="1"/>
    </xf>
    <xf numFmtId="0" fontId="96" fillId="34" borderId="14" xfId="0" applyFont="1" applyFill="1" applyBorder="1" applyNumberFormat="1">
      <alignment horizontal="center" vertical="top" wrapText="1"/>
    </xf>
    <xf numFmtId="0" fontId="100" fillId="34" borderId="14" xfId="0" applyFont="1" applyFill="1" applyBorder="1" applyNumberFormat="1">
      <alignment horizontal="right" vertical="center"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0" fontId="100" fillId="0" borderId="14" xfId="0" applyFont="1" applyBorder="1" applyNumberFormat="1">
      <alignment horizontal="left" vertical="top" wrapText="1"/>
    </xf>
    <xf numFmtId="49" fontId="100" fillId="34" borderId="14" xfId="0" applyFont="1" applyFill="1" applyBorder="1" applyNumberFormat="1">
      <alignment horizontal="left" vertical="top" wrapText="1"/>
    </xf>
    <xf numFmtId="0" fontId="100" fillId="34" borderId="14" xfId="0" applyFont="1" applyFill="1" applyBorder="1" applyNumberFormat="1">
      <alignment horizontal="center" vertical="center" wrapText="1"/>
    </xf>
    <xf numFmtId="0" fontId="100" fillId="34" borderId="14" xfId="0" applyFont="1" applyFill="1" applyBorder="1" applyNumberFormat="1">
      <alignment horizontal="center" vertical="center"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19" xfId="0" applyFont="1" applyBorder="1" applyNumberFormat="1">
      <alignment horizontal="center" vertical="top" wrapText="1"/>
    </xf>
    <xf numFmtId="0" fontId="100" fillId="0" borderId="19" xfId="0" applyFont="1" applyBorder="1" applyNumberFormat="1">
      <alignment horizontal="left" vertical="top" wrapText="1"/>
    </xf>
    <xf numFmtId="49" fontId="100" fillId="0" borderId="39" xfId="0" applyFont="1" applyBorder="1" applyNumberFormat="1">
      <alignment horizontal="center" vertical="top" wrapText="1"/>
    </xf>
    <xf numFmtId="49" fontId="100" fillId="0" borderId="39" xfId="0" applyFont="1" applyBorder="1" applyNumberFormat="1">
      <alignment horizontal="center" vertical="top" wrapText="1"/>
    </xf>
    <xf numFmtId="0" fontId="100" fillId="0" borderId="15" xfId="0" applyFont="1" applyBorder="1" applyNumberFormat="1">
      <alignment horizontal="left" vertical="top" wrapText="1"/>
    </xf>
    <xf numFmtId="49" fontId="100" fillId="0" borderId="25"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24" xfId="0" applyFont="1" applyBorder="1" applyNumberFormat="1">
      <alignment horizontal="center" vertical="top" wrapText="1"/>
    </xf>
    <xf numFmtId="0" fontId="100" fillId="0" borderId="19" xfId="0" applyFont="1" applyBorder="1" applyNumberFormat="1">
      <alignment vertical="top" wrapText="1"/>
    </xf>
    <xf numFmtId="49" fontId="96" fillId="0" borderId="14" xfId="0" applyFont="1" applyBorder="1" applyNumberFormat="1">
      <alignment horizontal="left" vertical="top" wrapText="1"/>
    </xf>
    <xf numFmtId="0" fontId="96" fillId="0" borderId="16" xfId="0" applyFont="1" applyBorder="1" applyNumberFormat="1">
      <alignment horizontal="center" vertical="center" wrapText="1"/>
    </xf>
    <xf numFmtId="0" fontId="96" fillId="0" borderId="16" xfId="0" applyFont="1" applyBorder="1" applyNumberFormat="1">
      <alignment horizontal="center" vertical="center"/>
    </xf>
    <xf numFmtId="49" fontId="96" fillId="0" borderId="14" xfId="0" applyFont="1" applyBorder="1" applyNumberFormat="1">
      <alignment horizontal="center" vertical="center" wrapText="1"/>
    </xf>
    <xf numFmtId="0" fontId="96" fillId="0" borderId="14" xfId="0" applyFont="1" applyBorder="1" applyNumberFormat="1">
      <alignment vertical="center" wrapText="1"/>
    </xf>
    <xf numFmtId="49" fontId="100" fillId="0" borderId="16" xfId="0" applyFont="1" applyBorder="1" applyNumberFormat="1">
      <alignment horizontal="left" vertical="top" wrapText="1"/>
    </xf>
    <xf numFmtId="0" fontId="96" fillId="0" borderId="14" xfId="0" applyFont="1" applyBorder="1" applyNumberFormat="1">
      <alignment horizontal="center"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100" fillId="0" borderId="32" xfId="0" applyFont="1" applyBorder="1" applyNumberFormat="1">
      <alignment horizontal="left" vertical="top" wrapText="1"/>
    </xf>
    <xf numFmtId="49" fontId="100" fillId="0" borderId="15" xfId="0" applyFont="1" applyBorder="1" applyNumberFormat="1">
      <alignment horizontal="left" vertical="top"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38" xfId="0" applyFont="1" applyBorder="1" applyNumberFormat="1">
      <alignment horizontal="left" vertical="top" wrapText="1"/>
    </xf>
    <xf numFmtId="0" fontId="100" fillId="0" borderId="38" xfId="0" applyFont="1" applyBorder="1" applyNumberFormat="1">
      <alignment horizontal="left" vertical="top" wrapText="1"/>
    </xf>
    <xf numFmtId="49" fontId="100" fillId="0" borderId="0" xfId="0" applyFont="1" applyNumberFormat="1">
      <alignment horizontal="left" vertical="top" wrapText="1"/>
    </xf>
    <xf numFmtId="49" fontId="100" fillId="34" borderId="0" xfId="0" applyFont="1" applyFill="1" applyNumberFormat="1">
      <alignment horizontal="left" vertical="top" wrapText="1"/>
    </xf>
    <xf numFmtId="0" fontId="100" fillId="0" borderId="0" xfId="0" applyFont="1" applyNumberFormat="1">
      <alignment vertical="top"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0" fillId="0" borderId="0" xfId="0" applyFont="1" applyNumberFormat="1">
      <alignment horizontal="left" vertical="center"/>
    </xf>
    <xf numFmtId="0" fontId="0" fillId="37" borderId="14" xfId="0" applyFont="1" applyFill="1" applyBorder="1" applyNumberFormat="1">
      <alignment horizontal="right" vertical="center" wrapText="1" indent="1"/>
    </xf>
    <xf numFmtId="0" fontId="0" fillId="0" borderId="16"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indent="6"/>
      <protection locked="0"/>
    </xf>
    <xf numFmtId="167" fontId="0" fillId="42" borderId="14" xfId="0" applyFont="1" applyFill="1" applyBorder="1" applyNumberFormat="1">
      <alignment horizontal="center" vertical="center" wrapText="1"/>
      <protection locked="0"/>
    </xf>
    <xf numFmtId="49" fontId="23" fillId="0" borderId="14" xfId="0" applyFont="1" applyBorder="1" applyNumberFormat="1">
      <alignment horizontal="left" vertical="center" wrapText="1"/>
    </xf>
    <xf numFmtId="49" fontId="106" fillId="40" borderId="16" xfId="0" applyFont="1" applyFill="1" applyBorder="1" applyNumberFormat="1">
      <alignment horizontal="left" vertical="center"/>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54" fillId="0" borderId="0" xfId="0" applyFont="1" applyNumberFormat="1">
      <alignment horizontal="left" vertical="center"/>
    </xf>
    <xf numFmtId="49" fontId="40" fillId="0" borderId="0" xfId="0" applyFont="1" applyNumberFormat="1">
      <alignment vertical="top"/>
    </xf>
    <xf numFmtId="49" fontId="0" fillId="0" borderId="26" xfId="0" applyFont="1" applyBorder="1" applyNumberFormat="1">
      <alignment vertical="top"/>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0" fillId="0" borderId="0" xfId="0" applyFont="1" applyNumberFormat="1">
      <alignment vertical="top"/>
    </xf>
    <xf numFmtId="49" fontId="54" fillId="0" borderId="0" xfId="0" applyFont="1" applyNumberFormat="1">
      <alignment horizontal="left" vertical="center"/>
    </xf>
    <xf numFmtId="49" fontId="54" fillId="0" borderId="0" xfId="0" applyFont="1" applyNumberFormat="1">
      <alignment horizontal="left" vertical="top"/>
    </xf>
    <xf numFmtId="49" fontId="72" fillId="40" borderId="16" xfId="0" applyFont="1" applyFill="1" applyBorder="1" applyNumberFormat="1">
      <alignment horizontal="left" vertical="top"/>
    </xf>
    <xf numFmtId="49" fontId="114" fillId="40" borderId="17" xfId="0" applyFont="1" applyFill="1" applyBorder="1" applyNumberFormat="1">
      <alignment horizontal="left" vertical="center"/>
    </xf>
    <xf numFmtId="49" fontId="55"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4" xfId="0" applyFont="1" applyBorder="1" applyNumberFormat="1">
      <alignment vertical="top"/>
    </xf>
    <xf numFmtId="49" fontId="0" fillId="0" borderId="16" xfId="0" applyFont="1" applyBorder="1" applyNumberFormat="1">
      <alignment vertical="top"/>
    </xf>
    <xf numFmtId="49" fontId="0" fillId="0" borderId="14" xfId="0" applyFont="1" applyBorder="1" applyNumberFormat="1">
      <alignment horizontal="center" vertical="top"/>
    </xf>
    <xf numFmtId="49" fontId="0" fillId="0" borderId="16" xfId="0" applyFont="1" applyBorder="1" applyNumberFormat="1">
      <alignment horizontal="center" vertical="top"/>
    </xf>
    <xf numFmtId="49" fontId="0" fillId="0" borderId="14" xfId="0" applyFont="1" applyBorder="1" applyNumberFormat="1">
      <alignment vertical="top"/>
    </xf>
    <xf numFmtId="49" fontId="0" fillId="45" borderId="19" xfId="0" applyFont="1" applyFill="1" applyBorder="1" applyNumberFormat="1">
      <alignment vertical="top"/>
    </xf>
    <xf numFmtId="49" fontId="0" fillId="0" borderId="16" xfId="0" applyFont="1" applyBorder="1" applyNumberFormat="1">
      <alignment horizontal="center" vertical="top"/>
    </xf>
    <xf numFmtId="49" fontId="0" fillId="46" borderId="14" xfId="0" applyFont="1" applyFill="1" applyBorder="1" applyNumberFormat="1">
      <alignment vertical="top"/>
    </xf>
    <xf numFmtId="49" fontId="0" fillId="0" borderId="17" xfId="0" applyFont="1" applyBorder="1" applyNumberFormat="1">
      <alignment horizontal="center" vertical="top"/>
    </xf>
    <xf numFmtId="49" fontId="0" fillId="3" borderId="14" xfId="0" applyFont="1" applyFill="1" applyBorder="1" applyNumberFormat="1">
      <alignment vertical="top"/>
    </xf>
    <xf numFmtId="49" fontId="0" fillId="47" borderId="14" xfId="0" applyFont="1" applyFill="1" applyBorder="1" applyNumberFormat="1">
      <alignment vertical="top"/>
    </xf>
    <xf numFmtId="49" fontId="0" fillId="16" borderId="19" xfId="0" applyFont="1" applyFill="1" applyBorder="1" applyNumberFormat="1">
      <alignment vertical="top"/>
    </xf>
    <xf numFmtId="49" fontId="0" fillId="5" borderId="16" xfId="0" applyFont="1" applyFill="1" applyBorder="1" applyNumberFormat="1">
      <alignment vertical="top"/>
    </xf>
    <xf numFmtId="49" fontId="0" fillId="5" borderId="14" xfId="0" applyFont="1" applyFill="1" applyBorder="1" applyNumberFormat="1">
      <alignment vertical="top"/>
    </xf>
    <xf numFmtId="49" fontId="0" fillId="16" borderId="14"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6" fillId="0" borderId="13" xfId="0" applyFont="1" applyBorder="1" applyNumberFormat="1">
      <alignment vertical="top" wrapText="1"/>
    </xf>
    <xf numFmtId="0" fontId="0" fillId="0" borderId="13" xfId="0" applyFont="1" applyBorder="1" applyNumberFormat="1">
      <alignment vertical="top" wrapText="1"/>
    </xf>
    <xf numFmtId="0" fontId="22" fillId="0" borderId="20" xfId="0" applyFont="1" applyBorder="1" applyNumberFormat="1">
      <alignment vertical="top" wrapText="1"/>
    </xf>
    <xf numFmtId="0" fontId="0" fillId="0" borderId="0" xfId="0" applyFont="1" applyNumberFormat="1">
      <alignment vertical="top"/>
    </xf>
    <xf numFmtId="0" fontId="0" fillId="0" borderId="14" xfId="0" applyFont="1" applyBorder="1" applyNumberFormat="1">
      <alignment vertical="top" wrapText="1"/>
    </xf>
    <xf numFmtId="49" fontId="0" fillId="0" borderId="14" xfId="0" applyFont="1" applyBorder="1" applyNumberFormat="1">
      <alignment vertical="top" wrapText="1"/>
    </xf>
    <xf numFmtId="49" fontId="0" fillId="0" borderId="19" xfId="0" applyFont="1" applyBorder="1" applyNumberFormat="1">
      <alignment vertical="top"/>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49" fontId="0" fillId="0" borderId="0" xfId="0" applyFont="1" applyNumberFormat="1">
      <alignment vertical="top"/>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107" fillId="0" borderId="0" xfId="0" applyFont="1" applyNumberFormat="1">
      <alignment vertical="center" wrapText="1"/>
    </xf>
    <xf numFmtId="0" fontId="107" fillId="0" borderId="0" xfId="0" applyFont="1" applyNumberFormat="1">
      <alignment horizontal="left" vertical="center" wrapText="1"/>
    </xf>
    <xf numFmtId="49" fontId="122" fillId="0" borderId="0" xfId="0" applyFont="1" applyNumberFormat="1">
      <alignment wrapText="1"/>
    </xf>
    <xf numFmtId="0" fontId="107"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71" fillId="0" borderId="0" xfId="0" applyFont="1" applyNumberFormat="1">
      <alignment wrapText="1"/>
    </xf>
    <xf numFmtId="0" fontId="22" fillId="48" borderId="40" xfId="0" applyFont="1" applyFill="1" applyBorder="1" applyNumberFormat="1">
      <alignment horizontal="right" vertical="center" wrapText="1" indent="1"/>
    </xf>
    <xf numFmtId="0" fontId="22" fillId="48" borderId="67" xfId="0" applyFont="1" applyFill="1" applyBorder="1" applyNumberFormat="1">
      <alignment horizontal="right" vertical="center" wrapText="1" inden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0" xfId="0" applyFont="1" applyNumberFormat="1">
      <alignment vertical="center" wrapText="1"/>
    </xf>
    <xf numFmtId="0" fontId="0" fillId="55" borderId="63" xfId="0" applyFont="1" applyFill="1" applyBorder="1" applyNumberFormat="1">
      <alignment horizontal="center"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22" fillId="48" borderId="0" xfId="0" applyFont="1" applyFill="1" applyNumberFormat="1">
      <alignment horizontal="right" vertical="center" wrapText="1" inden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125" fillId="0" borderId="0" xfId="0" applyFont="1" applyNumberFormat="1"/>
    <xf numFmtId="0" fontId="125" fillId="0" borderId="40" xfId="0" applyFont="1" applyBorder="1" applyNumberFormat="1">
      <alignment wrapText="1"/>
    </xf>
    <xf numFmtId="0" fontId="125" fillId="0" borderId="0" xfId="0" applyFont="1" applyNumberFormat="1">
      <alignment vertical="top" wrapTex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49" fontId="71" fillId="0" borderId="0" xfId="0" applyFont="1" applyNumberFormat="1">
      <alignment vertical="top" wrapText="1"/>
    </xf>
    <xf numFmtId="0" fontId="38" fillId="0" borderId="0" xfId="0" applyFont="1" applyNumberFormat="1"/>
    <xf numFmtId="0" fontId="68" fillId="0" borderId="0" xfId="0" applyFont="1" applyNumberFormat="1">
      <alignment vertical="center" wrapText="1"/>
    </xf>
    <xf numFmtId="0" fontId="96" fillId="0" borderId="0" xfId="0" applyFont="1" applyNumberFormat="1">
      <alignment horizontal="left" vertical="center" wrapText="1"/>
    </xf>
    <xf numFmtId="0" fontId="68" fillId="0" borderId="0" xfId="0" applyFont="1" applyNumberFormat="1">
      <alignment horizontal="left" vertical="center" wrapText="1"/>
    </xf>
    <xf numFmtId="0" fontId="68" fillId="0" borderId="0" xfId="0" applyFont="1" applyNumberFormat="1">
      <alignment vertical="center" wrapText="1"/>
    </xf>
    <xf numFmtId="0" fontId="40" fillId="0" borderId="0" xfId="0" applyFont="1" applyNumberFormat="1">
      <alignment horizontal="center" vertical="center" wrapText="1"/>
    </xf>
    <xf numFmtId="0" fontId="40"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horizontal="left" vertical="center" wrapText="1"/>
    </xf>
    <xf numFmtId="0" fontId="23" fillId="0" borderId="0" xfId="0" applyFont="1" applyNumberFormat="1">
      <alignment horizontal="left" vertical="top" indent="1"/>
    </xf>
    <xf numFmtId="49" fontId="71" fillId="0" borderId="0" xfId="0" applyFont="1" applyNumberFormat="1">
      <alignment vertical="top"/>
    </xf>
    <xf numFmtId="49" fontId="23" fillId="0" borderId="0" xfId="0" applyFont="1" applyNumberFormat="1">
      <alignment vertical="center" wrapText="1"/>
    </xf>
    <xf numFmtId="49" fontId="54"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4" fillId="0" borderId="0" xfId="0" applyFont="1" applyNumberFormat="1">
      <alignment vertical="top"/>
    </xf>
    <xf numFmtId="49" fontId="0" fillId="0" borderId="0" xfId="0" applyFont="1" applyNumberFormat="1">
      <alignment vertical="top"/>
    </xf>
    <xf numFmtId="0" fontId="65" fillId="0" borderId="0" xfId="0" applyFont="1" applyNumberFormat="1">
      <alignment vertical="center" wrapText="1"/>
    </xf>
    <xf numFmtId="0" fontId="96" fillId="0" borderId="0" xfId="0" applyFont="1" applyNumberFormat="1">
      <alignment horizontal="lef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3" fillId="0" borderId="0" xfId="0" applyFont="1" applyNumberFormat="1">
      <alignment vertical="center" wrapText="1"/>
    </xf>
    <xf numFmtId="0" fontId="42" fillId="37" borderId="0" xfId="0" applyFont="1" applyFill="1" applyNumberFormat="1">
      <alignmen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36" fillId="37" borderId="0" xfId="0" applyFont="1" applyFill="1" applyNumberFormat="1">
      <alignment vertical="center" wrapText="1"/>
    </xf>
    <xf numFmtId="0" fontId="101"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23" fillId="37" borderId="28" xfId="0" applyFont="1" applyFill="1" applyBorder="1" applyNumberFormat="1">
      <alignment horizontal="right" vertical="center" wrapText="1" indent="1"/>
    </xf>
    <xf numFmtId="0" fontId="0" fillId="38" borderId="14" xfId="0" applyFont="1" applyFill="1" applyBorder="1" applyNumberFormat="1">
      <alignment horizontal="left" vertical="center" wrapText="1" indent="1"/>
    </xf>
    <xf numFmtId="14" fontId="96" fillId="37" borderId="0" xfId="0" applyFont="1" applyFill="1" applyNumberFormat="1">
      <alignment horizontal="left"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3" fillId="0" borderId="0" xfId="0" applyFont="1" applyNumberFormat="1">
      <alignment horizontal="center" vertical="center" wrapText="1"/>
    </xf>
    <xf numFmtId="0" fontId="23" fillId="0" borderId="0" xfId="0" applyFont="1" applyNumberFormat="1">
      <alignment vertical="center" wrapText="1"/>
    </xf>
    <xf numFmtId="0" fontId="41" fillId="0" borderId="0" xfId="0" applyFont="1" applyNumberFormat="1">
      <alignment vertical="center" wrapText="1"/>
    </xf>
    <xf numFmtId="0" fontId="42" fillId="37" borderId="0" xfId="0" applyFont="1" applyFill="1" applyNumberFormat="1">
      <alignment vertical="center" wrapText="1"/>
    </xf>
    <xf numFmtId="0" fontId="23" fillId="37" borderId="28" xfId="0" applyFont="1" applyFill="1" applyBorder="1" applyNumberFormat="1">
      <alignment horizontal="right" vertical="center" wrapText="1" indent="1"/>
    </xf>
    <xf numFmtId="0" fontId="23" fillId="42" borderId="14"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4"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14" fontId="98" fillId="0" borderId="14" xfId="0" applyFont="1" applyBorder="1" applyNumberFormat="1">
      <alignment horizontal="center" vertical="center" wrapText="1"/>
    </xf>
    <xf numFmtId="167" fontId="0" fillId="42" borderId="14"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8" fillId="0" borderId="14" xfId="0" applyFont="1" applyBorder="1" applyNumberFormat="1">
      <alignment horizontal="left" vertical="center" wrapText="1"/>
    </xf>
    <xf numFmtId="49" fontId="23" fillId="37" borderId="28" xfId="0" applyFont="1" applyFill="1" applyBorder="1" applyNumberFormat="1">
      <alignment horizontal="right" vertical="center" wrapText="1" indent="1"/>
    </xf>
    <xf numFmtId="167" fontId="0" fillId="42" borderId="14" xfId="0" applyFont="1" applyFill="1" applyBorder="1" applyNumberFormat="1">
      <alignment horizontal="left" vertical="center" wrapText="1" indent="1"/>
      <protection locked="0"/>
    </xf>
    <xf numFmtId="49" fontId="54" fillId="0" borderId="0" xfId="0" applyFont="1" applyNumberFormat="1">
      <alignment vertical="center" wrapText="1"/>
    </xf>
    <xf numFmtId="0" fontId="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167" fontId="0" fillId="42" borderId="14" xfId="0" applyFont="1" applyFill="1" applyBorder="1" applyNumberFormat="1">
      <alignment horizontal="left" vertical="center" wrapText="1" indent="1"/>
      <protection locked="0"/>
    </xf>
    <xf numFmtId="0" fontId="0" fillId="37" borderId="0" xfId="0" applyFont="1" applyFill="1" applyNumberFormat="1">
      <alignment horizontal="right" vertical="center" wrapText="1" indent="1"/>
    </xf>
    <xf numFmtId="0" fontId="101"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42" borderId="14" xfId="0" applyFont="1" applyFill="1" applyBorder="1" applyNumberFormat="1">
      <alignment horizontal="left" vertical="center" wrapText="1" indent="1"/>
      <protection locked="0"/>
    </xf>
    <xf numFmtId="49" fontId="13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49" fontId="130" fillId="42" borderId="14" xfId="0" applyFont="1" applyFill="1" applyBorder="1" applyNumberFormat="1">
      <alignment horizontal="left" vertical="center" wrapText="1" indent="1"/>
      <protection locked="0"/>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49" fontId="23" fillId="38" borderId="14"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8"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2" borderId="14" xfId="0" applyFont="1" applyFill="1" applyBorder="1" applyNumberFormat="1">
      <alignment horizontal="left" vertical="center" wrapText="1" indent="1"/>
      <protection locked="0"/>
    </xf>
    <xf numFmtId="0" fontId="23" fillId="42" borderId="14" xfId="0" applyFont="1" applyFill="1" applyBorder="1" applyNumberFormat="1">
      <alignment horizontal="left" vertical="center" wrapText="1" indent="1"/>
      <protection locked="0"/>
    </xf>
    <xf numFmtId="0" fontId="66" fillId="37" borderId="0" xfId="0" applyFont="1" applyFill="1" applyNumberFormat="1">
      <alignment horizontal="right" vertical="center" wrapText="1" indent="1"/>
    </xf>
    <xf numFmtId="0" fontId="66" fillId="37" borderId="0" xfId="0" applyFont="1" applyFill="1" applyNumberFormat="1">
      <alignment horizontal="left" vertical="center" wrapText="1" indent="1"/>
    </xf>
    <xf numFmtId="49" fontId="23" fillId="43" borderId="14" xfId="0" applyFont="1" applyFill="1" applyBorder="1" applyNumberFormat="1">
      <alignment horizontal="left" vertical="center" wrapText="1" inden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40" fillId="0" borderId="0" xfId="0" applyFont="1" applyNumberFormat="1">
      <alignment horizontal="left" vertical="center" wrapText="1"/>
    </xf>
    <xf numFmtId="49" fontId="32" fillId="0" borderId="14" xfId="0" applyFont="1" applyBorder="1" applyNumberFormat="1">
      <alignment horizontal="left" vertical="center" wrapText="1" indent="1"/>
    </xf>
    <xf numFmtId="0" fontId="40" fillId="0" borderId="0" xfId="0" applyFont="1" applyNumberFormat="1">
      <alignment horizontal="left" vertical="center" wrapText="1"/>
    </xf>
    <xf numFmtId="0" fontId="23" fillId="0" borderId="0" xfId="0" applyFont="1" applyNumberFormat="1">
      <alignment vertical="center" wrapText="1"/>
    </xf>
    <xf numFmtId="14" fontId="97" fillId="0" borderId="0" xfId="0" applyFont="1" applyNumberFormat="1">
      <alignment horizontal="center" vertical="center" wrapText="1"/>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88" fillId="0" borderId="0" xfId="0" applyFont="1" applyNumberFormat="1">
      <alignment vertical="center" wrapText="1"/>
    </xf>
    <xf numFmtId="0" fontId="23" fillId="43" borderId="14" xfId="0" applyFont="1" applyFill="1" applyBorder="1" applyNumberFormat="1">
      <alignment horizontal="left" vertical="center" wrapText="1" indent="1"/>
    </xf>
    <xf numFmtId="167" fontId="0" fillId="0" borderId="13" xfId="0" applyFont="1" applyBorder="1" applyNumberFormat="1">
      <alignment horizontal="left" vertical="center" wrapText="1" indent="1"/>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xf>
    <xf numFmtId="0" fontId="96" fillId="0" borderId="0" xfId="0" applyFont="1" applyNumberFormat="1">
      <alignment horizontal="left" vertical="center" wrapText="1"/>
    </xf>
    <xf numFmtId="49" fontId="40" fillId="0" borderId="0" xfId="0" applyFont="1" applyNumberFormat="1">
      <alignment horizontal="left" vertical="center" wrapText="1"/>
    </xf>
    <xf numFmtId="49" fontId="42"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2" borderId="14" xfId="0" applyFont="1" applyFill="1" applyBorder="1" applyNumberFormat="1">
      <alignment horizontal="left" vertical="center" wrapText="1" indent="1"/>
      <protection locked="0"/>
    </xf>
    <xf numFmtId="49" fontId="130" fillId="42" borderId="14"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6" fillId="0" borderId="0" xfId="0" applyFont="1" applyNumberFormat="1">
      <alignment horizontal="left" vertical="center" wrapText="1"/>
    </xf>
    <xf numFmtId="0" fontId="40" fillId="0" borderId="0" xfId="0" applyFont="1" applyNumberFormat="1">
      <alignment horizontal="left" vertical="center" wrapText="1"/>
    </xf>
    <xf numFmtId="0" fontId="41"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40" fillId="0" borderId="0" xfId="0" applyFont="1" applyNumberFormat="1">
      <alignment horizontal="center" vertical="center" wrapText="1"/>
    </xf>
    <xf numFmtId="0" fontId="54" fillId="0" borderId="0" xfId="0" applyFont="1" applyNumberFormat="1">
      <alignment vertical="center" wrapText="1"/>
    </xf>
    <xf numFmtId="0" fontId="55" fillId="0" borderId="0" xfId="0" applyFont="1" applyNumberFormat="1">
      <alignment vertical="center" wrapText="1"/>
    </xf>
    <xf numFmtId="0" fontId="77"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center" vertical="center" wrapText="1"/>
    </xf>
    <xf numFmtId="0" fontId="55" fillId="0" borderId="0" xfId="0" applyFont="1" applyNumberFormat="1">
      <alignment horizontal="left" vertical="center" wrapText="1" indent="1"/>
    </xf>
    <xf numFmtId="0" fontId="55" fillId="0" borderId="0" xfId="0" applyFont="1" applyNumberFormat="1">
      <alignment horizontal="left" vertical="center" indent="1"/>
    </xf>
    <xf numFmtId="0" fontId="61" fillId="0" borderId="0" xfId="0" applyFont="1" applyNumberFormat="1">
      <alignment vertical="center" wrapText="1"/>
    </xf>
    <xf numFmtId="0" fontId="23"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50"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17"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4" xfId="0" applyFont="1" applyBorder="1" applyNumberFormat="1">
      <alignment horizontal="center" vertical="center" wrapText="1"/>
    </xf>
    <xf numFmtId="0" fontId="44" fillId="0" borderId="0" xfId="0" applyFont="1" applyNumberFormat="1">
      <alignment horizontal="center" vertical="center" wrapText="1"/>
    </xf>
    <xf numFmtId="49" fontId="44" fillId="0" borderId="17" xfId="0" applyFont="1" applyBorder="1" applyNumberFormat="1">
      <alignment horizontal="center" vertical="center" wrapText="1"/>
    </xf>
    <xf numFmtId="49" fontId="44" fillId="0" borderId="17" xfId="0" applyFont="1" applyBorder="1" applyNumberFormat="1">
      <alignment horizontal="center"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49" fontId="23" fillId="40" borderId="21" xfId="0" applyFont="1" applyFill="1" applyBorder="1" applyNumberFormat="1">
      <alignment horizontal="center" vertical="center" wrapText="1"/>
    </xf>
    <xf numFmtId="49" fontId="54" fillId="40" borderId="21" xfId="0" applyFont="1" applyFill="1" applyBorder="1" applyNumberFormat="1">
      <alignment horizontal="left" vertical="center" wrapText="1"/>
    </xf>
    <xf numFmtId="49" fontId="54" fillId="40" borderId="22" xfId="0" applyFont="1" applyFill="1" applyBorder="1" applyNumberFormat="1">
      <alignment horizontal="left" vertical="center" wrapText="1"/>
    </xf>
    <xf numFmtId="0" fontId="55" fillId="0" borderId="24" xfId="0" applyFont="1" applyBorder="1" applyNumberFormat="1">
      <alignment vertical="center"/>
    </xf>
    <xf numFmtId="0" fontId="50" fillId="0" borderId="0" xfId="0" applyFont="1" applyNumberFormat="1">
      <alignment vertical="center" wrapText="1"/>
    </xf>
    <xf numFmtId="0" fontId="23" fillId="0" borderId="0" xfId="0" applyFont="1" applyNumberFormat="1">
      <alignment horizontal="center"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9" fontId="54" fillId="0" borderId="14" xfId="0" applyFont="1" applyBorder="1" applyNumberFormat="1">
      <alignment horizontal="left" vertical="center" wrapText="1"/>
    </xf>
    <xf numFmtId="0" fontId="55" fillId="0" borderId="0" xfId="0" applyFont="1" applyNumberFormat="1">
      <alignment vertical="center"/>
    </xf>
    <xf numFmtId="0" fontId="55" fillId="0" borderId="0" xfId="0" applyFont="1" applyNumberFormat="1">
      <alignment vertical="center"/>
    </xf>
    <xf numFmtId="49" fontId="0" fillId="0" borderId="0" xfId="0" applyFont="1" applyNumberFormat="1">
      <alignment vertical="top"/>
    </xf>
    <xf numFmtId="0" fontId="44" fillId="0" borderId="26" xfId="0" applyFont="1" applyBorder="1" applyNumberFormat="1">
      <alignment vertical="top" wrapText="1"/>
    </xf>
    <xf numFmtId="0" fontId="23" fillId="0" borderId="25" xfId="0" applyFont="1" applyBorder="1" applyNumberFormat="1">
      <alignment horizontal="center" vertical="center" wrapText="1"/>
    </xf>
    <xf numFmtId="0" fontId="55" fillId="0" borderId="25" xfId="0" applyFont="1" applyBorder="1" applyNumberFormat="1">
      <alignment horizontal="center" vertical="center" wrapText="1"/>
    </xf>
    <xf numFmtId="14" fontId="23" fillId="43" borderId="25" xfId="0" applyFont="1" applyFill="1" applyBorder="1" applyNumberFormat="1">
      <alignment horizontal="left" vertical="center" wrapText="1" indent="1"/>
    </xf>
    <xf numFmtId="49" fontId="23" fillId="38" borderId="25" xfId="0" applyFont="1" applyFill="1" applyBorder="1" applyNumberFormat="1">
      <alignment horizontal="center" vertical="center" wrapText="1"/>
    </xf>
    <xf numFmtId="0" fontId="79" fillId="0" borderId="0" xfId="0" applyFont="1" applyNumberFormat="1">
      <alignment vertical="center" wrapText="1"/>
    </xf>
    <xf numFmtId="49" fontId="54" fillId="0" borderId="0" xfId="0" applyFont="1" applyNumberFormat="1">
      <alignment vertical="top"/>
    </xf>
    <xf numFmtId="49" fontId="55" fillId="0" borderId="0" xfId="0" applyFont="1" applyNumberFormat="1">
      <alignment vertical="top"/>
    </xf>
    <xf numFmtId="0" fontId="0" fillId="0" borderId="0" xfId="0" applyFont="1" applyNumberFormat="1">
      <alignment vertical="center" wrapText="1"/>
    </xf>
    <xf numFmtId="0" fontId="44" fillId="0" borderId="0" xfId="0" applyFont="1" applyNumberFormat="1">
      <alignment vertical="top" wrapText="1"/>
    </xf>
    <xf numFmtId="49" fontId="36" fillId="40" borderId="16" xfId="0" applyFont="1" applyFill="1" applyBorder="1" applyNumberFormat="1">
      <alignment horizontal="right" vertical="center" wrapText="1"/>
    </xf>
    <xf numFmtId="49" fontId="36" fillId="40" borderId="17"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0" fillId="40" borderId="17" xfId="0" applyFont="1" applyFill="1" applyBorder="1" applyNumberFormat="1">
      <alignment horizontal="right" vertical="center" wrapText="1"/>
    </xf>
    <xf numFmtId="49" fontId="0" fillId="40" borderId="15" xfId="0" applyFont="1" applyFill="1" applyBorder="1" applyNumberFormat="1">
      <alignment horizontal="right"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xf>
    <xf numFmtId="0" fontId="55" fillId="0" borderId="0" xfId="0" applyFont="1" applyNumberFormat="1">
      <alignment vertical="center"/>
    </xf>
    <xf numFmtId="0" fontId="50" fillId="0" borderId="0" xfId="0" applyFont="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55" fillId="0" borderId="0" xfId="0" applyFont="1" applyNumberFormat="1">
      <alignment vertical="center" wrapText="1"/>
    </xf>
    <xf numFmtId="49" fontId="23" fillId="40" borderId="16"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48" fillId="40" borderId="17" xfId="0" applyFont="1" applyFill="1" applyBorder="1" applyNumberFormat="1">
      <alignment horizontal="left" vertical="center"/>
    </xf>
    <xf numFmtId="49" fontId="23" fillId="40" borderId="15" xfId="0" applyFont="1" applyFill="1" applyBorder="1" applyNumberFormat="1">
      <alignment horizontal="right" vertical="center" wrapText="1"/>
    </xf>
    <xf numFmtId="0" fontId="45" fillId="0" borderId="0" xfId="0" applyFont="1" applyNumberFormat="1">
      <alignment horizontal="center" vertical="center" wrapText="1"/>
    </xf>
    <xf numFmtId="0" fontId="23" fillId="0" borderId="23" xfId="0" applyFont="1" applyBorder="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99" fillId="0" borderId="0" xfId="0" applyFont="1" applyNumberFormat="1">
      <alignment vertical="center" wrapText="1"/>
    </xf>
    <xf numFmtId="0" fontId="57"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0" xfId="0" applyFont="1" applyNumberFormat="1">
      <alignment vertical="center"/>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54" fillId="0" borderId="0" xfId="0" applyFont="1" applyNumberFormat="1">
      <alignment vertical="center"/>
    </xf>
    <xf numFmtId="0" fontId="49" fillId="0" borderId="0" xfId="0" applyFont="1" applyNumberFormat="1">
      <alignment vertical="center"/>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49"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9" fillId="0" borderId="0" xfId="0" applyFont="1" applyNumberFormat="1">
      <alignment vertical="center"/>
    </xf>
    <xf numFmtId="0" fontId="23" fillId="44" borderId="0" xfId="0" applyFont="1" applyFill="1" applyNumberFormat="1">
      <alignment horizontal="center" vertical="center" wrapText="1"/>
    </xf>
    <xf numFmtId="0" fontId="23" fillId="0" borderId="0" xfId="0" applyFont="1" applyNumberFormat="1">
      <alignment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80" fillId="0" borderId="14" xfId="0" applyFont="1" applyBorder="1" applyNumberFormat="1">
      <alignment horizontal="center" vertical="center" wrapText="1"/>
    </xf>
    <xf numFmtId="0" fontId="23" fillId="0" borderId="0" xfId="0" applyFont="1" applyNumberFormat="1">
      <alignment horizontal="center" vertical="center" wrapText="1"/>
    </xf>
    <xf numFmtId="0" fontId="87"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54" fillId="0" borderId="24" xfId="0" applyFont="1" applyBorder="1" applyNumberFormat="1">
      <alignment vertical="center"/>
    </xf>
    <xf numFmtId="0" fontId="0" fillId="0" borderId="0" xfId="0" applyFont="1" applyNumberFormat="1">
      <alignment vertical="center"/>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54" fillId="0" borderId="24" xfId="0" applyFont="1" applyBorder="1" applyNumberFormat="1">
      <alignment vertical="center"/>
    </xf>
    <xf numFmtId="0" fontId="55"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43" xfId="0" applyFont="1" applyFill="1" applyBorder="1" applyNumberFormat="1">
      <alignment horizontal="center" vertical="center" wrapText="1"/>
    </xf>
    <xf numFmtId="49" fontId="0" fillId="40" borderId="17" xfId="0" applyFont="1" applyFill="1" applyBorder="1" applyNumberFormat="1">
      <alignment horizontal="left" vertical="center"/>
    </xf>
    <xf numFmtId="0" fontId="0" fillId="40" borderId="15"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24" xfId="0" applyFont="1" applyBorder="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1"/>
      <protection locked="0"/>
    </xf>
    <xf numFmtId="49" fontId="48" fillId="40" borderId="15" xfId="0" applyFont="1" applyFill="1" applyBorder="1" applyNumberFormat="1">
      <alignment horizontal="left" vertical="center" indent="1"/>
    </xf>
    <xf numFmtId="0" fontId="23" fillId="43" borderId="25" xfId="0" applyFont="1" applyFill="1" applyBorder="1" applyNumberFormat="1">
      <alignment horizontal="left" vertical="center" wrapText="1" indent="2"/>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8" fillId="40" borderId="17" xfId="0" applyFont="1" applyFill="1" applyBorder="1" applyNumberFormat="1">
      <alignment horizontal="left" vertical="center" indent="2"/>
    </xf>
    <xf numFmtId="0" fontId="0" fillId="0" borderId="0" xfId="0" applyFont="1" applyNumberFormat="1">
      <alignment vertical="center"/>
    </xf>
    <xf numFmtId="0" fontId="54"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49" fillId="0" borderId="0" xfId="0" applyFont="1" applyNumberFormat="1">
      <alignment vertical="center"/>
    </xf>
    <xf numFmtId="0" fontId="56" fillId="0" borderId="0" xfId="0" applyFont="1" applyNumberFormat="1">
      <alignment vertical="center"/>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69"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3" fillId="0" borderId="0" xfId="0" applyFont="1" applyNumberFormat="1">
      <alignment vertical="center"/>
    </xf>
    <xf numFmtId="0" fontId="23" fillId="0" borderId="29" xfId="0" applyFont="1" applyBorder="1" applyNumberFormat="1">
      <alignment horizontal="left" vertical="center" indent="1"/>
    </xf>
    <xf numFmtId="0" fontId="72" fillId="0" borderId="0" xfId="0" applyFont="1" applyNumberFormat="1">
      <alignment vertical="center"/>
    </xf>
    <xf numFmtId="0" fontId="55" fillId="0" borderId="0" xfId="0" applyFont="1" applyNumberFormat="1">
      <alignment vertical="center"/>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72"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9" fillId="0" borderId="0" xfId="0" applyFont="1" applyNumberFormat="1">
      <alignment vertical="center"/>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xf>
    <xf numFmtId="0" fontId="55" fillId="0" borderId="0" xfId="0" applyFont="1" applyNumberFormat="1">
      <alignment vertical="center"/>
    </xf>
    <xf numFmtId="49" fontId="55" fillId="37" borderId="0" xfId="0" applyFont="1" applyFill="1" applyNumberFormat="1">
      <alignment horizontal="center" vertical="center" wrapText="1"/>
    </xf>
    <xf numFmtId="49" fontId="55" fillId="37" borderId="29" xfId="0" applyFont="1" applyFill="1" applyBorder="1" applyNumberFormat="1">
      <alignment horizontal="center" vertical="center" wrapText="1"/>
    </xf>
    <xf numFmtId="0" fontId="45" fillId="0" borderId="0" xfId="0" applyFont="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4" xfId="0" applyFont="1" applyBorder="1" applyNumberFormat="1">
      <alignment horizontal="center" vertical="top"/>
    </xf>
    <xf numFmtId="0" fontId="23" fillId="0" borderId="14" xfId="0" applyFont="1" applyBorder="1" applyNumberFormat="1">
      <alignment horizontal="left" vertical="top" wrapText="1"/>
    </xf>
    <xf numFmtId="0" fontId="23" fillId="43" borderId="19"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22"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3" borderId="38" xfId="0" applyFont="1" applyFill="1" applyBorder="1" applyNumberFormat="1">
      <alignment horizontal="center" vertical="top" wrapText="1"/>
    </xf>
    <xf numFmtId="0" fontId="0" fillId="0" borderId="24"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horizontal="left" vertical="top"/>
    </xf>
    <xf numFmtId="0" fontId="23" fillId="43" borderId="25" xfId="0" applyFont="1" applyFill="1" applyBorder="1" applyNumberFormat="1">
      <alignment horizontal="center" vertical="top" wrapText="1"/>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9" xfId="0" applyFont="1" applyBorder="1" applyNumberFormat="1">
      <alignment horizontal="center" vertical="top"/>
    </xf>
    <xf numFmtId="0" fontId="23" fillId="0" borderId="19" xfId="0" applyFont="1" applyBorder="1" applyNumberFormat="1">
      <alignment horizontal="left" vertical="top" wrapText="1"/>
    </xf>
    <xf numFmtId="0" fontId="0" fillId="0" borderId="38" xfId="0" applyFont="1" applyBorder="1" applyNumberFormat="1">
      <alignment horizontal="center" vertical="top"/>
    </xf>
    <xf numFmtId="0" fontId="23" fillId="0" borderId="38" xfId="0" applyFont="1" applyBorder="1" applyNumberFormat="1">
      <alignment horizontal="left" vertical="top" wrapText="1"/>
    </xf>
    <xf numFmtId="0" fontId="0" fillId="0" borderId="25" xfId="0" applyFont="1" applyBorder="1" applyNumberFormat="1">
      <alignment horizontal="center" vertical="top"/>
    </xf>
    <xf numFmtId="0" fontId="23" fillId="0" borderId="25" xfId="0" applyFont="1" applyBorder="1" applyNumberFormat="1">
      <alignment horizontal="left" vertical="top"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43" borderId="14" xfId="0" applyFont="1" applyFill="1" applyBorder="1" applyNumberFormat="1">
      <alignment horizontal="left" vertical="top" wrapText="1"/>
    </xf>
    <xf numFmtId="0" fontId="0"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49" fontId="23" fillId="43" borderId="19"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0" fillId="43" borderId="14"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49" fontId="23" fillId="43" borderId="38" xfId="0" applyFont="1" applyFill="1" applyBorder="1" applyNumberFormat="1">
      <alignment horizontal="center"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0" fillId="0" borderId="14" xfId="0" applyFont="1" applyBorder="1" applyNumberFormat="1">
      <alignment vertical="top"/>
    </xf>
    <xf numFmtId="49" fontId="0" fillId="39" borderId="14" xfId="0" applyFont="1" applyFill="1" applyBorder="1" applyNumberFormat="1">
      <alignment horizontal="left" vertical="top"/>
      <protection locked="0"/>
    </xf>
    <xf numFmtId="49" fontId="0" fillId="43" borderId="14" xfId="0" applyFont="1" applyFill="1" applyBorder="1" applyNumberFormat="1">
      <alignment horizontal="left" vertical="center" wrapText="1"/>
      <protection locked="0"/>
    </xf>
    <xf numFmtId="49" fontId="23" fillId="43" borderId="25" xfId="0" applyFont="1" applyFill="1" applyBorder="1" applyNumberFormat="1">
      <alignment horizontal="center" vertical="center" wrapText="1"/>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31" xfId="0" applyFont="1" applyFill="1" applyBorder="1" applyNumberFormat="1">
      <alignment horizontal="left" vertical="center"/>
    </xf>
    <xf numFmtId="49" fontId="0" fillId="0" borderId="0" xfId="0" applyFont="1" applyNumberFormat="1">
      <alignment vertical="center"/>
    </xf>
    <xf numFmtId="0" fontId="0" fillId="0" borderId="0" xfId="0" applyFont="1" applyNumberFormat="1">
      <alignment vertical="center"/>
    </xf>
    <xf numFmtId="0" fontId="45" fillId="0" borderId="0" xfId="0" applyFont="1" applyNumberFormat="1">
      <alignment horizontal="center" vertical="center" wrapText="1"/>
    </xf>
    <xf numFmtId="49" fontId="0" fillId="0" borderId="38" xfId="0" applyFont="1" applyBorder="1" applyNumberFormat="1">
      <alignment vertical="top"/>
    </xf>
    <xf numFmtId="49" fontId="0" fillId="0" borderId="38" xfId="0" applyFont="1" applyBorder="1" applyNumberFormat="1">
      <alignment horizontal="left" vertical="top"/>
    </xf>
    <xf numFmtId="0" fontId="23" fillId="43" borderId="38" xfId="0" applyFont="1" applyFill="1" applyBorder="1" applyNumberFormat="1">
      <alignment horizontal="center" vertical="top" wrapText="1"/>
    </xf>
    <xf numFmtId="49" fontId="0" fillId="43" borderId="38" xfId="0" applyFont="1" applyFill="1" applyBorder="1" applyNumberFormat="1">
      <alignment horizontal="left" vertical="top"/>
    </xf>
    <xf numFmtId="49" fontId="0" fillId="39" borderId="38" xfId="0" applyFont="1" applyFill="1" applyBorder="1" applyNumberFormat="1">
      <alignment vertical="top"/>
      <protection locked="0"/>
    </xf>
    <xf numFmtId="0" fontId="0" fillId="43" borderId="14" xfId="0" applyFont="1" applyFill="1" applyBorder="1" applyNumberFormat="1">
      <alignment horizontal="left" vertical="center" wrapText="1"/>
      <protection locked="0"/>
    </xf>
    <xf numFmtId="49" fontId="23" fillId="43" borderId="19" xfId="0" applyFont="1" applyFill="1" applyBorder="1" applyNumberFormat="1">
      <alignment horizontal="center" vertical="center" wrapText="1"/>
    </xf>
    <xf numFmtId="49" fontId="0" fillId="37" borderId="14" xfId="0" applyFont="1" applyFill="1" applyBorder="1" applyNumberFormat="1">
      <alignment horizontal="left" vertical="center" wrapText="1"/>
    </xf>
    <xf numFmtId="49"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49" fontId="23" fillId="39" borderId="14" xfId="0" applyFont="1" applyFill="1" applyBorder="1" applyNumberFormat="1">
      <alignment horizontal="left" vertical="center" wrapText="1"/>
      <protection locked="0"/>
    </xf>
    <xf numFmtId="0" fontId="23" fillId="0" borderId="0" xfId="0" applyFont="1" applyNumberFormat="1">
      <alignment horizontal="left" vertical="center" indent="1"/>
    </xf>
    <xf numFmtId="0" fontId="0" fillId="0" borderId="0" xfId="0" applyFont="1" applyNumberFormat="1">
      <alignment horizontal="left" vertical="center" indent="1"/>
    </xf>
    <xf numFmtId="0" fontId="0" fillId="0" borderId="0" xfId="0" applyFont="1" applyNumberFormat="1">
      <alignment vertical="center"/>
    </xf>
    <xf numFmtId="49" fontId="23" fillId="43" borderId="38" xfId="0" applyFont="1" applyFill="1" applyBorder="1" applyNumberFormat="1">
      <alignment horizontal="center"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0" fillId="0" borderId="14" xfId="0" applyFont="1" applyBorder="1" applyNumberFormat="1">
      <alignment vertical="top"/>
    </xf>
    <xf numFmtId="49" fontId="0" fillId="43" borderId="14" xfId="0" applyFont="1" applyFill="1" applyBorder="1" applyNumberFormat="1">
      <alignment horizontal="left" vertical="center" wrapText="1"/>
      <protection locked="0"/>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48" fillId="40" borderId="31" xfId="0" applyFont="1" applyFill="1" applyBorder="1" applyNumberFormat="1">
      <alignment horizontal="left" vertical="center"/>
    </xf>
    <xf numFmtId="49" fontId="0" fillId="42" borderId="14" xfId="0" applyFont="1" applyFill="1" applyBorder="1" applyNumberFormat="1">
      <alignment horizontal="left" vertical="center" wrapText="1"/>
      <protection locked="0"/>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0" fontId="0" fillId="0" borderId="14" xfId="0" applyFont="1" applyBorder="1" applyNumberFormat="1">
      <alignment horizontal="center" vertical="center"/>
    </xf>
    <xf numFmtId="49" fontId="0" fillId="39" borderId="14" xfId="0" applyFont="1" applyFill="1" applyBorder="1" applyNumberFormat="1">
      <alignment horizontal="left" vertical="top"/>
      <protection locked="0"/>
    </xf>
    <xf numFmtId="0" fontId="48" fillId="40" borderId="15" xfId="0" applyFont="1" applyFill="1" applyBorder="1" applyNumberFormat="1">
      <alignment horizontal="left" vertical="center"/>
    </xf>
    <xf numFmtId="49" fontId="0" fillId="43" borderId="14" xfId="0" applyFont="1" applyFill="1" applyBorder="1" applyNumberFormat="1">
      <alignment horizontal="left" vertical="top"/>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5" fillId="0" borderId="0" xfId="0" applyFont="1" applyNumberFormat="1">
      <alignment vertical="top"/>
    </xf>
    <xf numFmtId="49" fontId="55" fillId="0" borderId="0" xfId="0" applyFont="1" applyNumberFormat="1">
      <alignment horizontal="center" vertical="center"/>
    </xf>
    <xf numFmtId="49" fontId="55" fillId="0" borderId="0" xfId="0" applyFont="1" applyNumberFormat="1">
      <alignment horizontal="center" vertical="center"/>
    </xf>
    <xf numFmtId="49" fontId="54" fillId="0" borderId="0" xfId="0" applyFont="1" applyNumberFormat="1">
      <alignment horizontal="center" vertical="center"/>
    </xf>
    <xf numFmtId="49" fontId="72"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2" fillId="0" borderId="0" xfId="0" applyFont="1" applyNumberFormat="1">
      <alignment horizontal="left" vertical="center" wrapText="1" indent="1"/>
    </xf>
    <xf numFmtId="0" fontId="50" fillId="0" borderId="0" xfId="0" applyFont="1" applyNumberFormat="1">
      <alignment vertical="center"/>
    </xf>
    <xf numFmtId="0" fontId="118" fillId="0" borderId="0" xfId="0" applyFont="1" applyNumberFormat="1">
      <alignment vertical="center" wrapText="1"/>
    </xf>
    <xf numFmtId="0" fontId="119" fillId="0" borderId="0" xfId="0" applyFont="1" applyNumberFormat="1">
      <alignment vertical="center" wrapText="1"/>
    </xf>
    <xf numFmtId="0" fontId="5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49" fontId="23" fillId="0" borderId="0" xfId="0" applyFont="1" applyNumberFormat="1">
      <alignment vertical="top"/>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xf>
    <xf numFmtId="49" fontId="23" fillId="0" borderId="39" xfId="0" applyFont="1" applyBorder="1" applyNumberFormat="1">
      <alignment vertical="center" wrapText="1"/>
    </xf>
    <xf numFmtId="0" fontId="23"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21" xfId="0" applyFont="1" applyBorder="1" applyNumberFormat="1">
      <alignment vertical="center" wrapText="1"/>
    </xf>
    <xf numFmtId="49" fontId="23" fillId="0" borderId="24"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49" fontId="45" fillId="0" borderId="0" xfId="0" applyFont="1" applyNumberFormat="1">
      <alignment horizontal="center" vertical="center" wrapText="1"/>
    </xf>
    <xf numFmtId="0" fontId="48" fillId="0" borderId="0" xfId="0" applyFont="1" applyNumberFormat="1">
      <alignment vertical="center"/>
    </xf>
    <xf numFmtId="0" fontId="48" fillId="0" borderId="24" xfId="0" applyFont="1" applyBorder="1" applyNumberFormat="1">
      <alignment horizontal="left" vertical="center"/>
    </xf>
    <xf numFmtId="49" fontId="23" fillId="0" borderId="19" xfId="0" applyFont="1" applyBorder="1" applyNumberFormat="1">
      <alignment horizontal="center" vertical="center"/>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72" fillId="0" borderId="32" xfId="0" applyFont="1" applyBorder="1" applyNumberFormat="1">
      <alignment vertical="top"/>
    </xf>
    <xf numFmtId="49" fontId="72" fillId="0" borderId="29" xfId="0" applyFont="1" applyBorder="1" applyNumberFormat="1">
      <alignment vertical="top"/>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6"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23" fillId="37" borderId="0" xfId="0" applyFont="1" applyFill="1" applyNumberFormat="1"/>
    <xf numFmtId="0" fontId="66" fillId="37" borderId="0" xfId="0" applyFont="1" applyFill="1" applyNumberFormat="1"/>
    <xf numFmtId="0" fontId="55" fillId="37" borderId="0" xfId="0" applyFont="1" applyFill="1" applyNumberFormat="1"/>
    <xf numFmtId="0" fontId="66" fillId="37" borderId="0" xfId="0" applyFont="1" applyFill="1" applyNumberFormat="1">
      <alignment horizontal="center"/>
    </xf>
    <xf numFmtId="0" fontId="95" fillId="0" borderId="0" xfId="0" applyFont="1" applyNumberFormat="1">
      <alignment vertical="center"/>
    </xf>
    <xf numFmtId="0" fontId="94" fillId="0" borderId="0" xfId="0" applyFont="1" applyNumberFormat="1">
      <alignment vertical="center"/>
    </xf>
    <xf numFmtId="0" fontId="78" fillId="37" borderId="0" xfId="0" applyFont="1" applyFill="1" applyNumberFormat="1">
      <alignment horizontal="right" vertical="center"/>
    </xf>
    <xf numFmtId="0" fontId="23" fillId="37" borderId="0" xfId="0" applyFont="1" applyFill="1" applyNumberFormat="1">
      <alignment vertical="center" wrapText="1"/>
    </xf>
    <xf numFmtId="0" fontId="55" fillId="37" borderId="0" xfId="0" applyFont="1" applyFill="1" applyNumberFormat="1">
      <alignment vertical="center" wrapText="1"/>
    </xf>
    <xf numFmtId="0" fontId="23" fillId="37" borderId="0" xfId="0" applyFont="1" applyFill="1" applyNumberFormat="1">
      <alignment horizontal="center" vertical="center" wrapText="1"/>
    </xf>
    <xf numFmtId="0" fontId="98" fillId="37" borderId="0" xfId="0" applyFont="1" applyFill="1" applyNumberFormat="1">
      <alignment horizontal="left" vertical="center"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44" fillId="37" borderId="0" xfId="0" applyFont="1" applyFill="1" applyNumberFormat="1">
      <alignment horizontal="center" vertical="center"/>
    </xf>
    <xf numFmtId="49" fontId="55" fillId="0" borderId="14" xfId="0" applyFont="1" applyBorder="1" applyNumberFormat="1">
      <alignment horizontal="center" vertical="center"/>
    </xf>
    <xf numFmtId="0" fontId="55" fillId="0" borderId="14" xfId="0" applyFont="1" applyBorder="1" applyNumberFormat="1">
      <alignment vertical="center" wrapText="1"/>
    </xf>
    <xf numFmtId="0" fontId="55" fillId="0" borderId="14" xfId="0" applyFont="1" applyBorder="1" applyNumberFormat="1">
      <alignment horizontal="left" vertical="center" wrapText="1"/>
    </xf>
    <xf numFmtId="0" fontId="70" fillId="37" borderId="0" xfId="0" applyFont="1" applyFill="1" applyNumberFormat="1"/>
    <xf numFmtId="49" fontId="0" fillId="37" borderId="14" xfId="0" applyFont="1" applyFill="1" applyBorder="1" applyNumberFormat="1">
      <alignment horizontal="center" vertical="center"/>
    </xf>
    <xf numFmtId="0" fontId="0" fillId="37" borderId="14" xfId="0" applyFont="1" applyFill="1" applyBorder="1" applyNumberFormat="1">
      <alignment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vertical="center" wrapText="1"/>
    </xf>
    <xf numFmtId="0" fontId="0" fillId="37" borderId="14" xfId="0" applyFont="1" applyFill="1" applyBorder="1" applyNumberFormat="1">
      <alignment horizontal="left" vertical="center" wrapText="1" indent="1"/>
    </xf>
    <xf numFmtId="49" fontId="0" fillId="42" borderId="14" xfId="0" applyFont="1" applyFill="1" applyBorder="1" applyNumberFormat="1">
      <alignment horizontal="left" vertical="center" wrapText="1"/>
      <protection locked="0"/>
    </xf>
    <xf numFmtId="0" fontId="55" fillId="0" borderId="14"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95" fillId="0" borderId="0" xfId="0" applyFont="1" applyNumberFormat="1">
      <alignment vertical="center" wrapText="1"/>
    </xf>
    <xf numFmtId="0" fontId="0" fillId="37" borderId="14" xfId="0" applyFont="1" applyFill="1" applyBorder="1" applyNumberFormat="1">
      <alignment horizontal="center" vertical="center"/>
    </xf>
    <xf numFmtId="0" fontId="0" fillId="37" borderId="14" xfId="0" applyFont="1" applyFill="1" applyBorder="1" applyNumberFormat="1">
      <alignment horizontal="left" vertical="center" wrapText="1" indent="2"/>
    </xf>
    <xf numFmtId="49" fontId="0" fillId="0" borderId="14" xfId="0" applyFont="1" applyBorder="1" applyNumberFormat="1">
      <alignment horizontal="left" vertical="center" wrapText="1"/>
    </xf>
    <xf numFmtId="167" fontId="0" fillId="0" borderId="14" xfId="0" applyFont="1" applyBorder="1" applyNumberFormat="1">
      <alignment horizontal="left" vertical="center" wrapText="1" indent="1"/>
    </xf>
    <xf numFmtId="49" fontId="23" fillId="37" borderId="0" xfId="0" applyFont="1" applyFill="1" applyNumberFormat="1">
      <alignment vertical="center" wrapText="1"/>
    </xf>
    <xf numFmtId="0" fontId="23" fillId="37" borderId="26" xfId="0" applyFont="1" applyFill="1" applyBorder="1" applyNumberFormat="1">
      <alignment vertical="center" wrapText="1"/>
    </xf>
    <xf numFmtId="0" fontId="23" fillId="40" borderId="16" xfId="0" applyFont="1" applyFill="1" applyBorder="1" applyNumberFormat="1">
      <alignment horizontal="center"/>
    </xf>
    <xf numFmtId="49" fontId="48" fillId="40" borderId="17" xfId="0" applyFont="1" applyFill="1" applyBorder="1" applyNumberFormat="1">
      <alignment horizontal="left" vertical="center" indent="1"/>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0" fontId="55" fillId="37" borderId="0" xfId="0" applyFont="1" applyFill="1" applyNumberFormat="1"/>
    <xf numFmtId="49" fontId="55" fillId="37" borderId="14" xfId="0" applyFont="1" applyFill="1" applyBorder="1" applyNumberFormat="1">
      <alignment horizontal="center" vertical="center"/>
    </xf>
    <xf numFmtId="0" fontId="55" fillId="37" borderId="14" xfId="0" applyFont="1" applyFill="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0" fontId="0" fillId="37" borderId="14" xfId="0" applyFont="1" applyFill="1" applyBorder="1" applyNumberFormat="1">
      <alignment horizontal="left" vertical="center" wrapText="1"/>
    </xf>
    <xf numFmtId="49" fontId="0" fillId="39" borderId="14" xfId="0" applyFont="1" applyFill="1" applyBorder="1" applyNumberFormat="1">
      <alignment horizontal="left" vertical="center" wrapText="1"/>
      <protection locked="0"/>
    </xf>
    <xf numFmtId="0" fontId="0" fillId="37" borderId="19" xfId="0" applyFont="1" applyFill="1" applyBorder="1" applyNumberFormat="1">
      <alignment horizontal="left" vertical="center" wrapText="1"/>
    </xf>
    <xf numFmtId="0" fontId="23" fillId="37" borderId="19" xfId="0" applyFont="1" applyFill="1" applyBorder="1" applyNumberFormat="1">
      <alignment horizontal="left" vertical="top" wrapText="1"/>
    </xf>
    <xf numFmtId="49" fontId="0" fillId="0" borderId="14" xfId="0" applyFont="1" applyBorder="1" applyNumberFormat="1">
      <alignment horizontal="left" vertical="center" wrapText="1" indent="1"/>
    </xf>
    <xf numFmtId="0" fontId="23" fillId="37" borderId="38" xfId="0" applyFont="1" applyFill="1" applyBorder="1" applyNumberFormat="1">
      <alignment horizontal="left" vertical="top" wrapText="1"/>
    </xf>
    <xf numFmtId="0" fontId="45" fillId="37" borderId="0" xfId="0" applyFont="1" applyFill="1" applyNumberFormat="1">
      <alignment horizontal="center" vertical="center"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37" borderId="25" xfId="0" applyFont="1" applyFill="1" applyBorder="1" applyNumberFormat="1">
      <alignment horizontal="left" vertical="top" wrapText="1"/>
    </xf>
    <xf numFmtId="0" fontId="58" fillId="37" borderId="0" xfId="0" applyFont="1" applyFill="1" applyNumberFormat="1"/>
    <xf numFmtId="49" fontId="23" fillId="42" borderId="14" xfId="0" applyFont="1" applyFill="1" applyBorder="1" applyNumberFormat="1" quotePrefix="1">
      <alignment horizontal="left" vertical="center" wrapText="1"/>
      <protection locked="0"/>
    </xf>
    <xf numFmtId="49" fontId="23" fillId="39"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0" fillId="37" borderId="16" xfId="0" applyFont="1" applyFill="1" applyBorder="1" applyNumberFormat="1">
      <alignment horizontal="left" vertical="center" wrapText="1" indent="1"/>
    </xf>
    <xf numFmtId="49" fontId="23" fillId="43" borderId="16" xfId="0" applyFont="1" applyFill="1" applyBorder="1" applyNumberFormat="1">
      <alignment horizontal="left" vertical="center" wrapText="1"/>
    </xf>
    <xf numFmtId="0" fontId="0" fillId="37" borderId="14" xfId="0" applyFont="1" applyFill="1" applyBorder="1" applyNumberFormat="1">
      <alignment vertical="top" wrapText="1"/>
    </xf>
    <xf numFmtId="49" fontId="23" fillId="37" borderId="0" xfId="0" applyFont="1" applyFill="1" applyNumberFormat="1">
      <alignment horizontal="center" vertical="center" wrapText="1"/>
    </xf>
    <xf numFmtId="0" fontId="0" fillId="37" borderId="16" xfId="0" applyFont="1" applyFill="1" applyBorder="1" applyNumberFormat="1">
      <alignment horizontal="left" vertical="center" wrapText="1"/>
    </xf>
    <xf numFmtId="0" fontId="0" fillId="37" borderId="25" xfId="0" applyFont="1" applyFill="1" applyBorder="1" applyNumberFormat="1">
      <alignment vertical="center" wrapText="1"/>
    </xf>
    <xf numFmtId="0" fontId="81" fillId="37" borderId="0" xfId="0" applyFont="1" applyFill="1" applyNumberFormat="1"/>
    <xf numFmtId="0" fontId="23" fillId="0" borderId="0" xfId="0" applyFont="1" applyNumberFormat="1">
      <alignment vertical="top" wrapText="1"/>
    </xf>
    <xf numFmtId="0" fontId="55" fillId="0" borderId="0" xfId="0" applyFont="1" applyNumberFormat="1">
      <alignment vertical="center" wrapText="1"/>
    </xf>
    <xf numFmtId="0" fontId="53" fillId="0" borderId="0" xfId="0" applyFont="1" applyNumberFormat="1">
      <alignment horizontal="right" vertical="top" wrapText="1"/>
    </xf>
    <xf numFmtId="0" fontId="53" fillId="0" borderId="0" xfId="0" applyFont="1" applyNumberFormat="1">
      <alignment horizontal="left" vertical="top" wrapText="1" indent="1"/>
    </xf>
    <xf numFmtId="0" fontId="53" fillId="0" borderId="0" xfId="0" applyFont="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2" fillId="37" borderId="0" xfId="0" applyFont="1" applyFill="1" applyNumberFormat="1">
      <alignment horizontal="right" vertical="center"/>
    </xf>
    <xf numFmtId="0" fontId="83" fillId="37" borderId="0" xfId="0" applyFont="1" applyFill="1" applyNumberFormat="1">
      <alignment vertical="center"/>
    </xf>
    <xf numFmtId="0" fontId="82" fillId="37" borderId="0" xfId="0" applyFont="1" applyFill="1" applyNumberFormat="1">
      <alignment horizontal="right" vertical="top"/>
    </xf>
    <xf numFmtId="0" fontId="83"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45" fillId="37" borderId="0" xfId="0" applyFont="1" applyFill="1" applyNumberFormat="1">
      <alignment horizontal="center" vertical="center" wrapText="1"/>
    </xf>
    <xf numFmtId="0" fontId="22" fillId="0" borderId="0" xfId="0" applyFont="1" applyNumberFormat="1">
      <alignment horizontal="left" vertical="center" wrapText="1" indent="3"/>
    </xf>
    <xf numFmtId="0" fontId="69" fillId="0" borderId="0" xfId="0" applyFont="1" applyNumberFormat="1">
      <alignment horizontal="center" vertical="center" wrapText="1"/>
    </xf>
    <xf numFmtId="0" fontId="69" fillId="0" borderId="0" xfId="0" applyFont="1" applyNumberFormat="1">
      <alignment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65" fillId="0" borderId="0" xfId="0" applyFont="1" applyNumberFormat="1">
      <alignment vertical="center" wrapText="1"/>
    </xf>
    <xf numFmtId="0" fontId="63" fillId="0" borderId="0" xfId="0" applyFont="1" applyNumberFormat="1">
      <alignment vertical="center" wrapText="1"/>
    </xf>
    <xf numFmtId="0" fontId="84" fillId="37" borderId="0" xfId="0" applyFont="1" applyFill="1" applyNumberFormat="1">
      <alignment horizontal="center" vertical="center" wrapText="1"/>
    </xf>
    <xf numFmtId="0" fontId="65" fillId="0" borderId="0" xfId="0" applyFont="1" applyNumberFormat="1">
      <alignment horizontal="left" vertical="center" wrapText="1" indent="1"/>
    </xf>
    <xf numFmtId="0" fontId="23" fillId="0" borderId="0" xfId="0" applyFont="1" applyNumberFormat="1">
      <alignment horizontal="right" vertical="center"/>
    </xf>
    <xf numFmtId="0" fontId="55" fillId="0" borderId="0" xfId="0" applyFont="1" applyNumberFormat="1">
      <alignment vertical="center" wrapText="1"/>
    </xf>
    <xf numFmtId="0" fontId="0"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44" fillId="37" borderId="0" xfId="0" applyFont="1" applyFill="1" applyNumberFormat="1">
      <alignment horizontal="center" vertical="center" wrapText="1"/>
    </xf>
    <xf numFmtId="49" fontId="44" fillId="37" borderId="0" xfId="0" applyFont="1" applyFill="1" applyNumberFormat="1">
      <alignment horizontal="center" vertical="center" wrapText="1"/>
    </xf>
    <xf numFmtId="0" fontId="23" fillId="0" borderId="0" xfId="0" applyFont="1" applyNumberFormat="1">
      <alignment vertical="center" wrapText="1"/>
    </xf>
    <xf numFmtId="0" fontId="77" fillId="0" borderId="0" xfId="0" applyFont="1" applyNumberFormat="1">
      <alignmen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49" fontId="77" fillId="0" borderId="14" xfId="0" applyFont="1" applyBorder="1" applyNumberFormat="1">
      <alignment horizontal="left" vertical="center" wrapText="1"/>
    </xf>
    <xf numFmtId="49" fontId="0" fillId="0" borderId="14" xfId="0" applyFont="1" applyBorder="1" applyNumberFormat="1">
      <alignment vertical="top" wrapText="1"/>
    </xf>
    <xf numFmtId="49" fontId="0" fillId="0" borderId="14" xfId="0" applyFont="1" applyBorder="1" applyNumberFormat="1">
      <alignment horizontal="center" vertical="center" wrapText="1"/>
    </xf>
    <xf numFmtId="49" fontId="0" fillId="39"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 fontId="0" fillId="42"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 fontId="0" fillId="42" borderId="15" xfId="0" applyFont="1" applyFill="1" applyBorder="1" applyNumberFormat="1">
      <alignment horizontal="right" vertical="center" wrapText="1"/>
      <protection locked="0"/>
    </xf>
    <xf numFmtId="0" fontId="0" fillId="39" borderId="14" xfId="0" applyFont="1" applyFill="1" applyBorder="1" applyNumberFormat="1">
      <alignment horizontal="right" vertical="center" wrapText="1"/>
      <protection locked="0"/>
    </xf>
    <xf numFmtId="3" fontId="0" fillId="0" borderId="15" xfId="0" applyFont="1" applyBorder="1" applyNumberFormat="1">
      <alignment horizontal="right" vertical="center" wrapText="1"/>
    </xf>
    <xf numFmtId="0" fontId="0" fillId="0" borderId="19" xfId="0" applyFont="1" applyBorder="1" applyNumberFormat="1">
      <alignment horizontal="left" vertical="top" wrapText="1"/>
    </xf>
    <xf numFmtId="49" fontId="36" fillId="40" borderId="16" xfId="0" applyFont="1" applyFill="1" applyBorder="1" applyNumberFormat="1">
      <alignment horizontal="center" vertical="center"/>
    </xf>
    <xf numFmtId="0" fontId="48" fillId="40" borderId="17" xfId="0" applyFont="1" applyFill="1" applyBorder="1" applyNumberFormat="1">
      <alignment vertical="center"/>
    </xf>
    <xf numFmtId="49" fontId="48" fillId="40" borderId="17" xfId="0" applyFont="1" applyFill="1" applyBorder="1" applyNumberFormat="1">
      <alignment vertical="center"/>
    </xf>
    <xf numFmtId="49" fontId="78" fillId="40" borderId="17" xfId="0" applyFont="1" applyFill="1" applyBorder="1" applyNumberFormat="1">
      <alignment vertical="center"/>
    </xf>
    <xf numFmtId="49" fontId="78" fillId="40" borderId="15" xfId="0" applyFont="1" applyFill="1" applyBorder="1" applyNumberFormat="1">
      <alignment vertical="center"/>
    </xf>
    <xf numFmtId="0" fontId="0" fillId="0" borderId="25" xfId="0" applyFont="1" applyBorder="1" applyNumberFormat="1">
      <alignment horizontal="left" vertical="top" wrapText="1"/>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0" fillId="0" borderId="0" xfId="0" applyFont="1" applyNumberFormat="1">
      <alignment vertical="center" wrapText="1"/>
    </xf>
    <xf numFmtId="0" fontId="55" fillId="0" borderId="0" xfId="0" applyFont="1" applyNumberFormat="1">
      <alignment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0" fillId="0" borderId="39" xfId="0" applyFont="1" applyBorder="1" applyNumberFormat="1">
      <alignment horizontal="center" vertical="center" wrapText="1"/>
    </xf>
    <xf numFmtId="0" fontId="23" fillId="43" borderId="21" xfId="0" applyFont="1" applyFill="1" applyBorder="1" applyNumberFormat="1">
      <alignment horizontal="lef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49" fontId="0" fillId="0" borderId="32" xfId="0" applyFont="1" applyBorder="1" applyNumberFormat="1">
      <alignment horizontal="center" vertical="center" wrapText="1"/>
    </xf>
    <xf numFmtId="0" fontId="23" fillId="43" borderId="29" xfId="0" applyFont="1" applyFill="1" applyBorder="1" applyNumberFormat="1">
      <alignment horizontal="left" vertical="center" wrapText="1"/>
    </xf>
    <xf numFmtId="0" fontId="93" fillId="0" borderId="0" xfId="0" applyFont="1" applyNumberFormat="1">
      <alignment vertical="center" wrapText="1"/>
    </xf>
    <xf numFmtId="0" fontId="55" fillId="0" borderId="0" xfId="0" applyFont="1" applyNumberFormat="1">
      <alignment vertical="center" wrapText="1"/>
    </xf>
    <xf numFmtId="0" fontId="45" fillId="37" borderId="0" xfId="0" applyFont="1" applyFill="1" applyNumberFormat="1">
      <alignment horizontal="center" vertical="center" wrapText="1"/>
    </xf>
    <xf numFmtId="0" fontId="23" fillId="0" borderId="21" xfId="0" applyFont="1" applyBorder="1" applyNumberFormat="1">
      <alignment horizontal="left" vertical="top" wrapText="1" indent="1"/>
    </xf>
    <xf numFmtId="0" fontId="69"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vertical="center" wrapText="1"/>
    </xf>
    <xf numFmtId="0" fontId="23" fillId="0" borderId="25" xfId="0" applyFont="1" applyBorder="1" applyNumberFormat="1">
      <alignment horizontal="center" vertical="center" wrapText="1"/>
    </xf>
    <xf numFmtId="0" fontId="23" fillId="0" borderId="0" xfId="0" applyFont="1" applyNumberFormat="1">
      <alignmen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2" fillId="0" borderId="0" xfId="0" applyFont="1" applyNumberFormat="1">
      <alignment horizontal="center" vertical="center" wrapText="1"/>
    </xf>
    <xf numFmtId="0" fontId="50" fillId="0" borderId="0" xfId="0" applyFont="1" applyNumberFormat="1">
      <alignment vertical="center" wrapText="1"/>
    </xf>
    <xf numFmtId="4" fontId="65" fillId="0" borderId="0" xfId="0" applyFont="1" applyNumberFormat="1">
      <alignment horizontal="right"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4" fillId="37" borderId="17" xfId="0" applyFont="1" applyFill="1" applyBorder="1" applyNumberFormat="1">
      <alignment horizontal="center" vertical="center" wrapText="1"/>
    </xf>
    <xf numFmtId="49" fontId="44" fillId="37" borderId="17" xfId="0" applyFont="1" applyFill="1" applyBorder="1" applyNumberFormat="1">
      <alignment horizontal="center"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top"/>
    </xf>
    <xf numFmtId="0" fontId="45" fillId="37" borderId="26" xfId="0" applyFont="1" applyFill="1" applyBorder="1" applyNumberFormat="1">
      <alignment vertical="top"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49" fontId="34" fillId="40" borderId="15" xfId="0" applyFont="1" applyFill="1" applyBorder="1" applyNumberFormat="1">
      <alignment horizontal="left" vertical="center" wrapText="1"/>
    </xf>
    <xf numFmtId="0" fontId="0" fillId="0" borderId="38" xfId="0" applyFont="1" applyBorder="1" applyNumberFormat="1">
      <alignment horizontal="left" vertical="top"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45" fillId="37" borderId="0" xfId="0" applyFont="1" applyFill="1" applyNumberFormat="1">
      <alignment vertical="top" wrapText="1"/>
    </xf>
    <xf numFmtId="0" fontId="55" fillId="37" borderId="25" xfId="0" applyFont="1" applyFill="1" applyBorder="1" applyNumberFormat="1">
      <alignment horizontal="center" vertical="center" wrapText="1"/>
    </xf>
    <xf numFmtId="14" fontId="23" fillId="43" borderId="25" xfId="0" applyFont="1" applyFill="1" applyBorder="1" applyNumberFormat="1">
      <alignment horizontal="left" vertical="center" wrapText="1"/>
    </xf>
    <xf numFmtId="14" fontId="23" fillId="43" borderId="14" xfId="0" applyFont="1" applyFill="1" applyBorder="1" applyNumberFormat="1">
      <alignment horizontal="center" vertical="center" wrapText="1"/>
    </xf>
    <xf numFmtId="49" fontId="34" fillId="42" borderId="14" xfId="0" applyFont="1" applyFill="1" applyBorder="1" applyNumberFormat="1">
      <alignment horizontal="left" vertical="center" wrapText="1"/>
      <protection locked="0"/>
    </xf>
    <xf numFmtId="49" fontId="36" fillId="40" borderId="17" xfId="0" applyFont="1" applyFill="1" applyBorder="1" applyNumberFormat="1">
      <alignment horizontal="center" vertical="center"/>
    </xf>
    <xf numFmtId="49" fontId="78" fillId="40" borderId="17" xfId="0" applyFont="1" applyFill="1" applyBorder="1" applyNumberFormat="1">
      <alignment horizontal="left" vertical="center" indent="1"/>
    </xf>
    <xf numFmtId="49" fontId="78" fillId="40" borderId="15" xfId="0" applyFont="1" applyFill="1" applyBorder="1" applyNumberFormat="1">
      <alignment horizontal="left" vertical="center" indent="1"/>
    </xf>
    <xf numFmtId="0" fontId="65" fillId="0" borderId="0" xfId="0" applyFont="1" applyNumberFormat="1">
      <alignment vertical="center" wrapText="1"/>
    </xf>
    <xf numFmtId="0" fontId="84" fillId="0" borderId="0" xfId="0" applyFont="1" applyNumberFormat="1">
      <alignment horizontal="center" vertical="center" wrapText="1"/>
    </xf>
    <xf numFmtId="0" fontId="53" fillId="0" borderId="0" xfId="0" applyFont="1" applyNumberFormat="1">
      <alignment vertical="top" wrapText="1"/>
    </xf>
    <xf numFmtId="0" fontId="23" fillId="0" borderId="0" xfId="0" applyFont="1" applyNumberFormat="1">
      <alignment horizontal="right" vertical="top" wrapText="1"/>
    </xf>
    <xf numFmtId="0" fontId="53"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horizontal="left" vertical="center" indent="1"/>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6" xfId="0" applyFont="1" applyBorder="1" applyNumberFormat="1">
      <alignment vertical="top"/>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4" xfId="0" applyFont="1" applyBorder="1" applyNumberFormat="1">
      <alignment horizontal="left" vertical="center" wrapText="1" indent="6"/>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53" fillId="0" borderId="14" xfId="0" applyFont="1" applyBorder="1" applyNumberFormat="1">
      <alignment vertical="top" wrapText="1"/>
    </xf>
    <xf numFmtId="0" fontId="54" fillId="0" borderId="16" xfId="0" applyFont="1" applyBorder="1" applyNumberFormat="1">
      <alignment horizontal="center" vertical="center"/>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indent="1"/>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54" fillId="0" borderId="14" xfId="0" applyFont="1" applyBorder="1" applyNumberFormat="1">
      <alignment horizontal="center" vertical="center" wrapText="1"/>
    </xf>
    <xf numFmtId="0" fontId="54"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54" fillId="0" borderId="16" xfId="0" applyFont="1" applyBorder="1" applyNumberFormat="1">
      <alignment horizontal="center" vertical="center" wrapText="1"/>
    </xf>
    <xf numFmtId="0" fontId="54" fillId="0" borderId="0" xfId="0" applyFont="1" applyNumberFormat="1">
      <alignment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23" fillId="43" borderId="14" xfId="0" applyFont="1" applyFill="1" applyBorder="1" applyNumberFormat="1">
      <alignment horizontal="left" vertical="center" wrapText="1" indent="6"/>
    </xf>
    <xf numFmtId="4" fontId="23" fillId="39" borderId="14" xfId="0" applyFont="1" applyFill="1" applyBorder="1" applyNumberFormat="1">
      <alignment horizontal="right" vertical="center" wrapText="1"/>
      <protection locked="0"/>
    </xf>
    <xf numFmtId="4" fontId="23" fillId="0" borderId="14" xfId="0" applyFont="1" applyBorder="1" applyNumberFormat="1">
      <alignment horizontal="right" vertical="center" wrapText="1"/>
    </xf>
    <xf numFmtId="16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0" fontId="53" fillId="0" borderId="19" xfId="0" applyFont="1" applyBorder="1" applyNumberFormat="1">
      <alignment horizontal="left" vertical="top" wrapText="1"/>
    </xf>
    <xf numFmtId="49" fontId="23" fillId="0" borderId="14" xfId="0" applyFont="1" applyBorder="1" applyNumberFormat="1">
      <alignment horizontal="left" vertical="center" wrapText="1"/>
    </xf>
    <xf numFmtId="4" fontId="55" fillId="0" borderId="14" xfId="0" applyFont="1" applyBorder="1" applyNumberFormat="1">
      <alignment horizontal="center" vertical="center" wrapText="1"/>
    </xf>
    <xf numFmtId="49" fontId="0" fillId="42" borderId="14" xfId="0" applyFont="1" applyFill="1" applyBorder="1" applyNumberFormat="1">
      <alignment horizontal="center" vertical="center" wrapText="1"/>
      <protection locked="0"/>
    </xf>
    <xf numFmtId="0" fontId="53" fillId="0" borderId="38" xfId="0" applyFont="1" applyBorder="1" applyNumberFormat="1">
      <alignment horizontal="left" vertical="top"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6"/>
    </xf>
    <xf numFmtId="49" fontId="23" fillId="40" borderId="15" xfId="0" applyFont="1" applyFill="1" applyBorder="1" applyNumberFormat="1">
      <alignment horizontal="center" vertical="center" wrapText="1"/>
    </xf>
    <xf numFmtId="0" fontId="53" fillId="0" borderId="25" xfId="0" applyFont="1" applyBorder="1" applyNumberFormat="1">
      <alignment horizontal="left" vertical="top" wrapText="1"/>
    </xf>
    <xf numFmtId="49" fontId="48" fillId="40" borderId="17" xfId="0" applyFont="1" applyFill="1" applyBorder="1" applyNumberFormat="1">
      <alignment horizontal="left" vertical="center" indent="5"/>
    </xf>
    <xf numFmtId="49" fontId="0"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49" fontId="47" fillId="0" borderId="0" xfId="0" applyFont="1" applyNumberFormat="1">
      <alignment vertical="top"/>
    </xf>
    <xf numFmtId="49" fontId="48" fillId="40" borderId="17" xfId="0" applyFont="1" applyFill="1" applyBorder="1" applyNumberFormat="1">
      <alignment horizontal="left" vertical="center" indent="4"/>
    </xf>
    <xf numFmtId="0" fontId="55"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49" fontId="23" fillId="0" borderId="0" xfId="0" applyFont="1" applyNumberFormat="1">
      <alignmen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167" fontId="54" fillId="0" borderId="14" xfId="0" applyFont="1" applyBorder="1" applyNumberFormat="1">
      <alignment horizontal="center" vertical="center" wrapText="1"/>
    </xf>
    <xf numFmtId="49" fontId="54" fillId="0" borderId="14" xfId="0" applyFont="1" applyBorder="1" applyNumberFormat="1">
      <alignment horizontal="center"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54" fillId="0" borderId="14" xfId="0" applyFont="1" applyBorder="1" applyNumberFormat="1">
      <alignment vertical="center" wrapText="1"/>
    </xf>
    <xf numFmtId="0" fontId="74" fillId="0" borderId="0" xfId="0" applyFont="1" applyNumberFormat="1">
      <alignment vertical="center" wrapText="1"/>
    </xf>
    <xf numFmtId="0" fontId="54" fillId="0" borderId="0" xfId="0" applyFont="1" applyNumberFormat="1">
      <alignment horizontal="left" vertical="center" wrapText="1"/>
    </xf>
    <xf numFmtId="0" fontId="47"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1" xfId="0" applyFont="1" applyBorder="1" applyNumberFormat="1">
      <alignment horizontal="left" vertical="top" wrapText="1" indent="1"/>
    </xf>
    <xf numFmtId="0" fontId="22" fillId="0" borderId="0" xfId="0" applyFont="1" applyNumberFormat="1">
      <alignment vertical="center" wrapTex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4" fillId="0" borderId="0" xfId="0" applyFont="1" applyNumberFormat="1">
      <alignment vertical="center"/>
    </xf>
    <xf numFmtId="0" fontId="54" fillId="0" borderId="0" xfId="0" applyFont="1" applyNumberFormat="1">
      <alignment horizontal="center" vertical="center"/>
    </xf>
    <xf numFmtId="0" fontId="0" fillId="37" borderId="14" xfId="0" applyFont="1" applyFill="1" applyBorder="1" applyNumberFormat="1">
      <alignment horizontal="right" vertical="center" wrapText="1" indent="1"/>
    </xf>
    <xf numFmtId="0" fontId="0" fillId="0" borderId="17" xfId="0" applyFont="1" applyBorder="1" applyNumberFormat="1">
      <alignment vertical="center"/>
    </xf>
    <xf numFmtId="0" fontId="23" fillId="38" borderId="14" xfId="0" applyFont="1" applyFill="1" applyBorder="1" applyNumberFormat="1">
      <alignment horizontal="left" vertical="center" wrapText="1" indent="1"/>
    </xf>
    <xf numFmtId="0" fontId="23" fillId="0" borderId="0" xfId="0" applyFont="1" applyNumberFormat="1">
      <alignment vertical="center" wrapText="1"/>
    </xf>
    <xf numFmtId="0" fontId="73" fillId="0" borderId="0" xfId="0" applyFont="1" applyNumberFormat="1">
      <alignment vertical="center"/>
    </xf>
    <xf numFmtId="0" fontId="55" fillId="0" borderId="0" xfId="0" applyFont="1" applyNumberFormat="1">
      <alignment vertical="center"/>
    </xf>
    <xf numFmtId="167" fontId="23" fillId="38" borderId="14"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wrapText="1"/>
    </xf>
    <xf numFmtId="0" fontId="23" fillId="37" borderId="29" xfId="0" applyFont="1" applyFill="1" applyBorder="1" applyNumberFormat="1">
      <alignment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19" xfId="0" applyFont="1" applyBorder="1" applyNumberFormat="1">
      <alignmen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0" fontId="23" fillId="0" borderId="38" xfId="0" applyFont="1" applyBorder="1" applyNumberFormat="1">
      <alignment vertical="center" wrapText="1"/>
    </xf>
    <xf numFmtId="0" fontId="23" fillId="0" borderId="19" xfId="0" applyFont="1" applyBorder="1" applyNumberFormat="1">
      <alignment horizontal="center" vertical="center" wrapText="1"/>
    </xf>
    <xf numFmtId="0" fontId="54"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7" xfId="0" applyFont="1" applyBorder="1" applyNumberFormat="1">
      <alignment horizontal="center" vertical="center" wrapText="1"/>
    </xf>
    <xf numFmtId="0" fontId="23" fillId="37" borderId="38" xfId="0" applyFont="1" applyFill="1" applyBorder="1" applyNumberFormat="1">
      <alignment horizontal="center" vertical="center" wrapText="1"/>
    </xf>
    <xf numFmtId="49" fontId="48" fillId="40" borderId="38" xfId="0" applyFont="1" applyFill="1" applyBorder="1" applyNumberFormat="1">
      <alignment horizontal="center" vertical="center" textRotation="90" wrapText="1"/>
    </xf>
    <xf numFmtId="0" fontId="54" fillId="0" borderId="0" xfId="0" applyFont="1" applyNumberFormat="1">
      <alignment vertical="center"/>
    </xf>
    <xf numFmtId="0" fontId="23" fillId="0" borderId="25" xfId="0" applyFont="1" applyBorder="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8" fillId="40" borderId="25" xfId="0" applyFont="1" applyFill="1" applyBorder="1" applyNumberFormat="1">
      <alignment horizontal="center" vertical="center" textRotation="90" wrapText="1"/>
    </xf>
    <xf numFmtId="49" fontId="77" fillId="0" borderId="0" xfId="0" applyFont="1" applyNumberFormat="1">
      <alignment vertical="center" wrapText="1"/>
    </xf>
    <xf numFmtId="0" fontId="111" fillId="37" borderId="0" xfId="0" applyFont="1" applyFill="1" applyNumberFormat="1">
      <alignment vertical="center" wrapText="1"/>
    </xf>
    <xf numFmtId="0" fontId="112" fillId="37" borderId="0" xfId="0" applyFont="1" applyFill="1" applyNumberFormat="1">
      <alignment vertical="center" wrapText="1"/>
    </xf>
    <xf numFmtId="49" fontId="85" fillId="37" borderId="21" xfId="0" applyFont="1" applyFill="1" applyBorder="1" applyNumberFormat="1">
      <alignment horizontal="left" vertical="center" wrapText="1"/>
    </xf>
    <xf numFmtId="49" fontId="85" fillId="37" borderId="21" xfId="0" applyFont="1" applyFill="1" applyBorder="1" applyNumberFormat="1">
      <alignment horizontal="center" vertical="center" wrapText="1"/>
    </xf>
    <xf numFmtId="0" fontId="5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167" fontId="0" fillId="42" borderId="19" xfId="0" applyFont="1" applyFill="1" applyBorder="1" applyNumberFormat="1">
      <alignment horizontal="center" vertical="center" wrapText="1"/>
      <protection locked="0"/>
    </xf>
    <xf numFmtId="4" fontId="23" fillId="0" borderId="19" xfId="0" applyFont="1" applyBorder="1" applyNumberFormat="1">
      <alignment horizontal="right" vertical="center" wrapText="1"/>
    </xf>
    <xf numFmtId="49" fontId="23" fillId="0" borderId="14" xfId="0" applyFont="1" applyBorder="1" applyNumberFormat="1">
      <alignment horizontal="left" vertical="center" wrapText="1"/>
    </xf>
    <xf numFmtId="49" fontId="0" fillId="42" borderId="25" xfId="0" applyFont="1" applyFill="1" applyBorder="1" applyNumberFormat="1">
      <alignment horizontal="center" vertical="center" wrapText="1"/>
      <protection locked="0"/>
    </xf>
    <xf numFmtId="4" fontId="23" fillId="0" borderId="25" xfId="0" applyFont="1" applyBorder="1" applyNumberFormat="1">
      <alignment horizontal="right" vertical="center" wrapText="1"/>
    </xf>
    <xf numFmtId="0" fontId="55" fillId="0" borderId="0" xfId="0" applyFont="1" applyNumberFormat="1">
      <alignment horizontal="left" vertical="center" indent="1"/>
    </xf>
    <xf numFmtId="0" fontId="55" fillId="0" borderId="0" xfId="0" applyFont="1" applyNumberFormat="1">
      <alignment vertical="center" wrapText="1"/>
    </xf>
    <xf numFmtId="0" fontId="55" fillId="0" borderId="0" xfId="0" applyFont="1" applyNumberFormat="1">
      <alignment horizontal="center" vertical="center"/>
    </xf>
    <xf numFmtId="0" fontId="55" fillId="0" borderId="0" xfId="0" applyFont="1" applyNumberFormat="1">
      <alignment vertical="center" wrapText="1"/>
    </xf>
    <xf numFmtId="49" fontId="55" fillId="0" borderId="0" xfId="0" applyFont="1" applyNumberFormat="1">
      <alignment vertical="top"/>
    </xf>
    <xf numFmtId="49" fontId="112"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23" fillId="0" borderId="0" xfId="0" applyFont="1" applyNumberFormat="1">
      <alignment vertical="center" wrapText="1"/>
    </xf>
    <xf numFmtId="0" fontId="47"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0" fontId="23" fillId="0" borderId="14" xfId="0" applyFont="1" applyBorder="1" applyNumberFormat="1">
      <alignment horizontal="center" vertical="center"/>
    </xf>
    <xf numFmtId="0" fontId="23" fillId="0" borderId="0" xfId="0" applyFont="1" applyNumberFormat="1">
      <alignment horizontal="center" vertical="center"/>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0" fontId="23" fillId="37" borderId="14" xfId="0" applyFont="1" applyFill="1" applyBorder="1" applyNumberFormat="1">
      <alignment horizontal="left" vertical="center" wrapText="1" indent="1"/>
    </xf>
    <xf numFmtId="0" fontId="23" fillId="0" borderId="0" xfId="0" applyFont="1" applyNumberFormat="1">
      <alignment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77" fillId="0" borderId="0" xfId="0" applyFont="1" applyNumberFormat="1">
      <alignment horizontal="left" vertical="center" wrapText="1"/>
    </xf>
    <xf numFmtId="0" fontId="77" fillId="0" borderId="0" xfId="0" applyFont="1" applyNumberFormat="1">
      <alignment vertical="center" wrapText="1"/>
    </xf>
    <xf numFmtId="0" fontId="55" fillId="0" borderId="0" xfId="0" applyFont="1" applyNumberFormat="1">
      <alignment vertical="center"/>
    </xf>
    <xf numFmtId="49" fontId="77" fillId="0" borderId="0" xfId="0" applyFont="1" applyNumberFormat="1">
      <alignment horizontal="left" vertical="center"/>
    </xf>
    <xf numFmtId="0" fontId="54"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4"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5" fillId="0" borderId="0" xfId="0" applyFont="1" applyNumberFormat="1">
      <alignment vertical="center" wrapText="1"/>
    </xf>
    <xf numFmtId="0" fontId="23" fillId="0" borderId="19" xfId="0" applyFont="1" applyBorder="1" applyNumberFormat="1">
      <alignment vertical="center" wrapText="1"/>
    </xf>
    <xf numFmtId="0" fontId="0" fillId="0" borderId="14" xfId="0" applyFont="1" applyBorder="1" applyNumberFormat="1">
      <alignment horizontal="center" vertical="center" wrapText="1"/>
    </xf>
    <xf numFmtId="0" fontId="77" fillId="0" borderId="0" xfId="0" applyFont="1" applyNumberFormat="1">
      <alignment vertical="center" wrapText="1"/>
    </xf>
    <xf numFmtId="0" fontId="85" fillId="37" borderId="21" xfId="0" applyFont="1" applyFill="1" applyBorder="1" applyNumberFormat="1">
      <alignment horizontal="center" vertical="center" wrapText="1"/>
    </xf>
    <xf numFmtId="0" fontId="77" fillId="0" borderId="0" xfId="0" applyFont="1" applyNumberFormat="1">
      <alignment horizontal="left" vertical="center" indent="1"/>
    </xf>
    <xf numFmtId="0" fontId="55" fillId="0" borderId="0" xfId="0" applyFont="1" applyNumberFormat="1">
      <alignment vertical="center" wrapText="1"/>
    </xf>
    <xf numFmtId="0" fontId="77"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4" fontId="23" fillId="0" borderId="14" xfId="0" applyFont="1" applyBorder="1" applyNumberFormat="1">
      <alignment horizontal="right" vertical="center" wrapText="1"/>
    </xf>
    <xf numFmtId="0" fontId="0" fillId="37" borderId="21" xfId="0" applyFont="1" applyFill="1" applyBorder="1" applyNumberFormat="1">
      <alignment horizontal="center" vertical="center" wrapText="1"/>
    </xf>
    <xf numFmtId="0" fontId="55"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55" fillId="0" borderId="14" xfId="0" applyFont="1" applyBorder="1" applyNumberFormat="1">
      <alignment vertical="center" wrapText="1"/>
    </xf>
    <xf numFmtId="0" fontId="23" fillId="0" borderId="0" xfId="0" applyFont="1" applyNumberFormat="1">
      <alignment vertical="center"/>
    </xf>
    <xf numFmtId="0" fontId="55" fillId="0" borderId="25" xfId="0" applyFont="1" applyBorder="1" applyNumberFormat="1">
      <alignment horizontal="center" vertical="center" wrapText="1"/>
    </xf>
    <xf numFmtId="0" fontId="23" fillId="0" borderId="32" xfId="0" applyFont="1" applyBorder="1" applyNumberFormat="1">
      <alignment horizontal="center" vertical="center" wrapText="1"/>
    </xf>
    <xf numFmtId="0" fontId="55"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0" xfId="0" applyFont="1" applyFill="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9" fontId="55" fillId="0" borderId="0" xfId="0" applyFont="1" applyNumberFormat="1">
      <alignment vertical="center" wrapText="1"/>
    </xf>
    <xf numFmtId="0" fontId="0" fillId="0" borderId="0" xfId="0" applyFont="1" applyNumberFormat="1">
      <alignment horizontal="left" vertical="top" wrapText="1"/>
    </xf>
    <xf numFmtId="0" fontId="54" fillId="0" borderId="0" xfId="0" applyFont="1" applyNumberFormat="1">
      <alignment vertical="top" wrapText="1"/>
    </xf>
    <xf numFmtId="0" fontId="23" fillId="0" borderId="21" xfId="0" applyFont="1" applyBorder="1" applyNumberFormat="1">
      <alignment horizontal="left" vertical="center" wrapText="1" indent="1"/>
    </xf>
    <xf numFmtId="0" fontId="23" fillId="0" borderId="0" xfId="0" applyFont="1" applyNumberFormat="1">
      <alignment horizontal="left" vertical="center" wrapText="1"/>
    </xf>
    <xf numFmtId="0" fontId="23" fillId="43" borderId="22" xfId="0" applyFont="1" applyFill="1" applyBorder="1" applyNumberFormat="1">
      <alignment horizontal="left" vertical="center" wrapText="1"/>
    </xf>
    <xf numFmtId="0" fontId="23" fillId="0" borderId="0" xfId="0" applyFont="1" applyNumberFormat="1">
      <alignment horizontal="center" vertical="center" wrapText="1"/>
    </xf>
    <xf numFmtId="164" fontId="23" fillId="39" borderId="16" xfId="0" applyFont="1" applyFill="1" applyBorder="1" applyNumberFormat="1">
      <alignment horizontal="right" vertical="center" wrapText="1"/>
      <protection locked="0"/>
    </xf>
    <xf numFmtId="4" fontId="23" fillId="39" borderId="15" xfId="0" applyFont="1" applyFill="1" applyBorder="1" applyNumberFormat="1">
      <alignment horizontal="right" vertical="center" wrapText="1"/>
      <protection locked="0"/>
    </xf>
    <xf numFmtId="0" fontId="53" fillId="0" borderId="19" xfId="0" applyFont="1" applyBorder="1" applyNumberFormat="1">
      <alignment vertical="top" wrapText="1"/>
    </xf>
    <xf numFmtId="0" fontId="23" fillId="39" borderId="14" xfId="0" applyFont="1" applyFill="1" applyBorder="1" applyNumberFormat="1">
      <alignment horizontal="left" vertical="center" wrapText="1" indent="7"/>
      <protection locked="0"/>
    </xf>
    <xf numFmtId="49" fontId="0" fillId="42" borderId="14" xfId="0" applyFont="1" applyFill="1" applyBorder="1" applyNumberFormat="1">
      <alignment horizontal="center" vertical="center" wrapText="1"/>
      <protection locked="0"/>
    </xf>
    <xf numFmtId="4" fontId="55" fillId="0" borderId="16" xfId="0" applyFont="1" applyBorder="1" applyNumberFormat="1">
      <alignment horizontal="center" vertical="center" wrapText="1"/>
    </xf>
    <xf numFmtId="4" fontId="23" fillId="0" borderId="15" xfId="0" applyFont="1" applyBorder="1" applyNumberFormat="1">
      <alignment horizontal="right" vertical="center" wrapText="1"/>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14" xfId="0" applyFont="1" applyBorder="1" applyNumberFormat="1">
      <alignment horizontal="left" vertical="center" wrapText="1" indent="5"/>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45"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23" fillId="0" borderId="14" xfId="0" applyFont="1" applyBorder="1" applyNumberFormat="1">
      <alignment horizontal="left" vertical="center" wrapText="1" indent="4"/>
    </xf>
    <xf numFmtId="49" fontId="23" fillId="37" borderId="14" xfId="0" applyFont="1" applyFill="1" applyBorder="1" applyNumberFormat="1">
      <alignment horizontal="center" vertical="center" wrapText="1"/>
    </xf>
    <xf numFmtId="0" fontId="23" fillId="43" borderId="14" xfId="0" applyFont="1" applyFill="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0" fontId="23" fillId="37" borderId="38" xfId="0" applyFont="1" applyFill="1" applyBorder="1" applyNumberFormat="1">
      <alignment horizontal="left" vertical="center" wrapText="1"/>
    </xf>
    <xf numFmtId="49" fontId="23" fillId="42" borderId="38" xfId="0" applyFont="1" applyFill="1" applyBorder="1" applyNumberFormat="1">
      <alignment horizontal="left" vertical="center" wrapText="1" indent="6"/>
      <protection locked="0"/>
    </xf>
    <xf numFmtId="164" fontId="23" fillId="40" borderId="15" xfId="0" applyFont="1" applyFill="1" applyBorder="1" applyNumberFormat="1">
      <alignment horizontal="right" vertical="center" wrapText="1"/>
    </xf>
    <xf numFmtId="49" fontId="48" fillId="40" borderId="16" xfId="0" applyFont="1" applyFill="1" applyBorder="1" applyNumberFormat="1">
      <alignment horizontal="left" vertical="center"/>
    </xf>
    <xf numFmtId="164" fontId="23" fillId="40" borderId="17" xfId="0" applyFont="1" applyFill="1" applyBorder="1" applyNumberFormat="1">
      <alignment horizontal="right" vertical="center" wrapText="1"/>
    </xf>
    <xf numFmtId="4" fontId="23" fillId="0" borderId="38" xfId="0" applyFont="1" applyBorder="1" applyNumberFormat="1">
      <alignment horizontal="right" vertical="center" wrapText="1"/>
    </xf>
    <xf numFmtId="49" fontId="48" fillId="40" borderId="16" xfId="0" applyFont="1" applyFill="1" applyBorder="1" applyNumberFormat="1">
      <alignment horizontal="left" vertical="center" indent="1"/>
    </xf>
    <xf numFmtId="0" fontId="23" fillId="37" borderId="25" xfId="0" applyFont="1" applyFill="1" applyBorder="1" applyNumberFormat="1">
      <alignment horizontal="left" vertical="center" wrapText="1"/>
    </xf>
    <xf numFmtId="49" fontId="23" fillId="42" borderId="25" xfId="0" applyFont="1" applyFill="1" applyBorder="1" applyNumberFormat="1">
      <alignment horizontal="left" vertical="center" wrapText="1" indent="6"/>
      <protection locked="0"/>
    </xf>
    <xf numFmtId="4" fontId="55" fillId="40" borderId="15" xfId="0" applyFont="1" applyFill="1" applyBorder="1" applyNumberFormat="1">
      <alignment horizontal="center"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55" fillId="0" borderId="26" xfId="0" applyFont="1" applyBorder="1" applyNumberFormat="1">
      <alignment vertical="top"/>
    </xf>
    <xf numFmtId="0" fontId="116" fillId="0" borderId="0" xfId="0" applyFont="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26"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7"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4" fillId="0" borderId="0" xfId="0" applyFont="1" applyNumberFormat="1">
      <alignment horizontal="left" vertical="center"/>
    </xf>
    <xf numFmtId="0" fontId="55" fillId="0" borderId="0" xfId="0" applyFont="1" applyNumberFormat="1">
      <alignment horizontal="left" vertical="center"/>
    </xf>
    <xf numFmtId="0" fontId="74" fillId="37" borderId="0" xfId="0" applyFont="1" applyFill="1" applyNumberFormat="1">
      <alignment vertical="center" wrapText="1"/>
    </xf>
    <xf numFmtId="0" fontId="23" fillId="37" borderId="3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6"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14" xfId="0" applyFont="1" applyBorder="1" applyNumberFormat="1">
      <alignment horizontal="left" vertical="center" wrapText="1" indent="1"/>
    </xf>
    <xf numFmtId="0" fontId="23" fillId="0" borderId="14" xfId="0" applyFont="1" applyBorder="1" applyNumberFormat="1">
      <alignment horizontal="left" vertical="center" wrapText="1" indent="1"/>
    </xf>
    <xf numFmtId="49" fontId="23" fillId="40" borderId="16" xfId="0" applyFont="1" applyFill="1" applyBorder="1" applyNumberFormat="1">
      <alignment horizontal="center" vertical="center" wrapText="1"/>
    </xf>
    <xf numFmtId="49" fontId="77" fillId="0" borderId="26" xfId="0" applyFont="1" applyBorder="1" applyNumberFormat="1">
      <alignment vertical="top"/>
    </xf>
    <xf numFmtId="0" fontId="23" fillId="0" borderId="0" xfId="0" applyFont="1" applyNumberFormat="1">
      <alignment horizontal="left" vertical="top" wrapText="1"/>
    </xf>
    <xf numFmtId="0" fontId="74"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49" fontId="48" fillId="40" borderId="17" xfId="0" applyFont="1" applyFill="1" applyBorder="1" applyNumberFormat="1">
      <alignment horizontal="left" vertical="center" indent="3"/>
    </xf>
    <xf numFmtId="0" fontId="55" fillId="0" borderId="0" xfId="0" applyFont="1" applyNumberFormat="1">
      <alignment horizontal="center" vertical="center"/>
    </xf>
    <xf numFmtId="0" fontId="54" fillId="0" borderId="0" xfId="0" applyFont="1" applyNumberFormat="1">
      <alignment horizontal="center" vertical="center" wrapText="1"/>
    </xf>
    <xf numFmtId="0" fontId="115" fillId="0" borderId="0" xfId="0" applyFont="1" applyNumberFormat="1">
      <alignment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8" borderId="17" xfId="0" applyFont="1" applyFill="1" applyBorder="1" applyNumberFormat="1">
      <alignment horizontal="left" vertical="center" wrapText="1"/>
    </xf>
    <xf numFmtId="0" fontId="54" fillId="0" borderId="0" xfId="0" applyFont="1" applyNumberFormat="1">
      <alignment horizontal="center" vertical="center" wrapText="1"/>
    </xf>
    <xf numFmtId="0" fontId="55" fillId="0" borderId="17" xfId="0" applyFont="1" applyBorder="1" applyNumberFormat="1">
      <alignment horizontal="left" vertical="center" wrapText="1"/>
    </xf>
    <xf numFmtId="49" fontId="23" fillId="43" borderId="14" xfId="0" applyFont="1" applyFill="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23" fillId="43" borderId="17"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77"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5" fillId="0" borderId="29" xfId="0" applyFont="1" applyBorder="1" applyNumberFormat="1">
      <alignment horizontal="center" vertical="center" wrapText="1"/>
    </xf>
    <xf numFmtId="0" fontId="23" fillId="42" borderId="15"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0" fontId="55" fillId="0" borderId="0" xfId="0" applyFont="1" applyNumberFormat="1">
      <alignment horizontal="center" vertical="center" wrapText="1"/>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23" fillId="39" borderId="38" xfId="0" applyFont="1" applyFill="1" applyBorder="1" applyNumberFormat="1">
      <alignment horizontal="left" vertical="center" wrapText="1" indent="6"/>
      <protection locked="0"/>
    </xf>
    <xf numFmtId="49" fontId="23" fillId="43" borderId="31" xfId="0" applyFont="1" applyFill="1" applyBorder="1" applyNumberFormat="1">
      <alignment horizontal="center" vertical="center" wrapText="1"/>
    </xf>
    <xf numFmtId="49" fontId="48" fillId="40" borderId="29" xfId="0" applyFont="1" applyFill="1" applyBorder="1" applyNumberFormat="1">
      <alignment horizontal="left" vertical="center"/>
    </xf>
    <xf numFmtId="49" fontId="23" fillId="39" borderId="25" xfId="0" applyFont="1" applyFill="1" applyBorder="1" applyNumberFormat="1">
      <alignment horizontal="left" vertical="center" wrapText="1" indent="6"/>
      <protection locked="0"/>
    </xf>
    <xf numFmtId="0" fontId="55" fillId="0" borderId="0" xfId="0" applyFont="1" applyNumberFormat="1">
      <alignment horizontal="center" vertical="center"/>
    </xf>
    <xf numFmtId="0" fontId="55" fillId="0" borderId="0" xfId="0" applyFont="1" applyNumberFormat="1">
      <alignment horizontal="left" vertical="center" wrapText="1" indent="1"/>
    </xf>
    <xf numFmtId="0" fontId="23" fillId="37" borderId="14" xfId="0" applyFont="1" applyFill="1" applyBorder="1" applyNumberFormat="1">
      <alignment horizontal="center" vertical="center" wrapText="1"/>
    </xf>
    <xf numFmtId="0" fontId="55" fillId="0" borderId="21" xfId="0" applyFont="1" applyBorder="1" applyNumberFormat="1">
      <alignment horizontal="lef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49" fontId="23" fillId="43"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55" fillId="0" borderId="14" xfId="0" applyFont="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center" wrapText="1"/>
    </xf>
    <xf numFmtId="0" fontId="23" fillId="0" borderId="0" xfId="0" applyFont="1" applyNumberFormat="1">
      <alignment vertical="center" wrapText="1"/>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4" fontId="23" fillId="0" borderId="14" xfId="0" applyFont="1" applyBorder="1" applyNumberFormat="1">
      <alignment horizontal="right" vertical="center" wrapText="1"/>
    </xf>
    <xf numFmtId="49" fontId="0" fillId="42" borderId="14" xfId="0" applyFont="1" applyFill="1" applyBorder="1" applyNumberFormat="1">
      <alignment horizontal="center" vertical="center" wrapText="1"/>
      <protection locked="0"/>
    </xf>
    <xf numFmtId="4" fontId="23" fillId="0" borderId="14" xfId="0" applyFont="1" applyBorder="1" applyNumberFormat="1">
      <alignment horizontal="right" vertical="center" wrapText="1"/>
    </xf>
    <xf numFmtId="49" fontId="0" fillId="42" borderId="14"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center" vertical="center" wrapText="1"/>
    </xf>
    <xf numFmtId="0" fontId="54" fillId="0" borderId="0" xfId="0" applyFont="1" applyNumberFormat="1">
      <alignment vertical="center" wrapText="1"/>
    </xf>
    <xf numFmtId="49" fontId="54" fillId="0" borderId="14" xfId="0" applyFont="1" applyBorder="1" applyNumberFormat="1">
      <alignment vertical="center" wrapText="1"/>
    </xf>
    <xf numFmtId="0" fontId="54" fillId="0" borderId="0" xfId="0" applyFont="1" applyNumberFormat="1">
      <alignment vertical="center" wrapText="1"/>
    </xf>
    <xf numFmtId="49" fontId="54" fillId="0" borderId="14" xfId="0" applyFont="1" applyBorder="1" applyNumberFormat="1">
      <alignment vertical="center" wrapText="1"/>
    </xf>
    <xf numFmtId="0" fontId="54" fillId="0" borderId="0" xfId="0" applyFont="1" applyNumberFormat="1">
      <alignment vertical="center"/>
    </xf>
    <xf numFmtId="0" fontId="54" fillId="0" borderId="0" xfId="0" applyFont="1" applyNumberFormat="1">
      <alignment vertical="center"/>
    </xf>
    <xf numFmtId="0" fontId="23" fillId="0" borderId="21" xfId="0" applyFont="1" applyBorder="1" applyNumberFormat="1">
      <alignment horizontal="left" vertical="top" wrapText="1" indent="1"/>
    </xf>
    <xf numFmtId="0" fontId="23" fillId="0" borderId="21" xfId="0" applyFont="1" applyBorder="1" applyNumberFormat="1">
      <alignment horizontal="left" vertical="top" wrapText="1" indent="1"/>
    </xf>
    <xf numFmtId="0" fontId="23" fillId="0" borderId="29" xfId="0" applyFont="1" applyBorder="1" applyNumberFormat="1">
      <alignment horizontal="left" vertical="center" wrapText="1" inden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36" fillId="37" borderId="0" xfId="0" applyFont="1" applyFill="1" applyNumberFormat="1">
      <alignment horizontal="center" vertical="center" wrapText="1"/>
    </xf>
    <xf numFmtId="0" fontId="23" fillId="38" borderId="14" xfId="0" applyFont="1" applyFill="1" applyBorder="1" applyNumberFormat="1">
      <alignment horizontal="left" vertical="center" wrapText="1" indent="1"/>
    </xf>
    <xf numFmtId="0" fontId="23" fillId="38" borderId="14" xfId="0" applyFont="1" applyFill="1" applyBorder="1" applyNumberFormat="1">
      <alignment horizontal="left" vertical="center" wrapText="1" indent="1"/>
    </xf>
    <xf numFmtId="167" fontId="23" fillId="38" borderId="14" xfId="0" applyFont="1" applyFill="1" applyBorder="1" applyNumberFormat="1">
      <alignment horizontal="left" vertical="center" wrapText="1" indent="1"/>
    </xf>
    <xf numFmtId="167" fontId="23" fillId="38" borderId="14" xfId="0" applyFont="1" applyFill="1" applyBorder="1" applyNumberFormat="1">
      <alignment horizontal="left" vertical="center" wrapText="1" indent="1"/>
    </xf>
    <xf numFmtId="0" fontId="55" fillId="0" borderId="0" xfId="0" applyFont="1" applyNumberFormat="1">
      <alignment vertical="center" wrapText="1"/>
    </xf>
    <xf numFmtId="0" fontId="55" fillId="0" borderId="0" xfId="0" applyFont="1" applyNumberFormat="1">
      <alignment vertical="center" wrapText="1"/>
    </xf>
    <xf numFmtId="0" fontId="45" fillId="0" borderId="29" xfId="0" applyFont="1" applyBorder="1" applyNumberFormat="1">
      <alignment horizontal="center" vertical="center" wrapText="1"/>
    </xf>
    <xf numFmtId="0" fontId="45" fillId="0" borderId="29"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23"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23" fillId="0" borderId="39"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37" borderId="38"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23" fillId="0" borderId="39"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37" borderId="38" xfId="0" applyFont="1" applyFill="1" applyBorder="1" applyNumberFormat="1">
      <alignment horizontal="center" vertical="center" wrapText="1"/>
    </xf>
    <xf numFmtId="0" fontId="54" fillId="0" borderId="0" xfId="0" applyFont="1" applyNumberFormat="1">
      <alignment horizontal="center" vertical="center" wrapText="1"/>
    </xf>
    <xf numFmtId="0" fontId="23" fillId="0" borderId="32"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0" xfId="0" applyFont="1" applyFill="1" applyNumberFormat="1">
      <alignment horizontal="center" vertical="center" wrapText="1"/>
    </xf>
    <xf numFmtId="0" fontId="85" fillId="37" borderId="21" xfId="0" applyFont="1" applyFill="1" applyBorder="1" applyNumberFormat="1">
      <alignment horizontal="center" vertical="center" wrapText="1"/>
    </xf>
    <xf numFmtId="0" fontId="85" fillId="37" borderId="0" xfId="0" applyFont="1" applyFill="1" applyNumberFormat="1">
      <alignment horizontal="center" vertical="center" wrapText="1"/>
    </xf>
    <xf numFmtId="167" fontId="0" fillId="42" borderId="19" xfId="0" applyFont="1" applyFill="1" applyBorder="1" applyNumberFormat="1">
      <alignment horizontal="center" vertical="center" wrapText="1"/>
      <protection locked="0"/>
    </xf>
    <xf numFmtId="167" fontId="0" fillId="42" borderId="19" xfId="0" applyFont="1" applyFill="1" applyBorder="1" applyNumberFormat="1">
      <alignment horizontal="center" vertical="center" wrapText="1"/>
      <protection locked="0"/>
    </xf>
    <xf numFmtId="49" fontId="0" fillId="42" borderId="25" xfId="0" applyFont="1" applyFill="1" applyBorder="1" applyNumberFormat="1">
      <alignment horizontal="center" vertical="center" wrapText="1"/>
      <protection locked="0"/>
    </xf>
    <xf numFmtId="49" fontId="0" fillId="42" borderId="25"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0" fillId="0" borderId="0" xfId="0" applyFont="1" applyNumberFormat="1">
      <alignment vertical="top"/>
    </xf>
    <xf numFmtId="0" fontId="54" fillId="0" borderId="0" xfId="0" applyFont="1" applyNumberFormat="1">
      <alignment horizontal="left" vertical="center" indent="1"/>
    </xf>
    <xf numFmtId="0" fontId="54" fillId="0" borderId="16" xfId="0" applyFont="1" applyBorder="1" applyNumberFormat="1">
      <alignment horizontal="center" vertical="center"/>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xf>
    <xf numFmtId="0" fontId="23" fillId="37" borderId="14" xfId="0" applyFont="1" applyFill="1" applyBorder="1" applyNumberFormat="1">
      <alignment horizontal="left" vertical="center" wrapText="1" indent="1"/>
    </xf>
    <xf numFmtId="0" fontId="23" fillId="0" borderId="14" xfId="0" applyFont="1" applyBorder="1" applyNumberFormat="1">
      <alignment horizontal="left" vertical="center" wrapText="1" indent="6"/>
    </xf>
    <xf numFmtId="0" fontId="53" fillId="0" borderId="14" xfId="0" applyFont="1" applyBorder="1" applyNumberFormat="1">
      <alignment vertical="top" wrapText="1"/>
    </xf>
    <xf numFmtId="0" fontId="55" fillId="0" borderId="0" xfId="0" applyFont="1" applyNumberFormat="1">
      <alignment vertical="center"/>
    </xf>
    <xf numFmtId="49" fontId="0" fillId="0" borderId="0" xfId="0" applyFont="1" applyNumberFormat="1">
      <alignment vertical="top"/>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49" fontId="0" fillId="0" borderId="0" xfId="0" applyFont="1" applyNumberFormat="1">
      <alignment vertical="top"/>
    </xf>
    <xf numFmtId="0" fontId="54" fillId="0" borderId="14" xfId="0" applyFont="1" applyBorder="1" applyNumberFormat="1">
      <alignment horizontal="center" vertical="center" wrapText="1"/>
    </xf>
    <xf numFmtId="49" fontId="54" fillId="0" borderId="0" xfId="0" applyFont="1" applyNumberFormat="1">
      <alignment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0" fillId="0" borderId="0" xfId="0" applyFont="1" applyNumberFormat="1">
      <alignment vertical="top"/>
    </xf>
    <xf numFmtId="0" fontId="54" fillId="0" borderId="16" xfId="0" applyFont="1" applyBorder="1" applyNumberFormat="1">
      <alignment horizontal="center"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53" fillId="0" borderId="19" xfId="0" applyFont="1" applyBorder="1" applyNumberFormat="1">
      <alignment vertical="top" wrapText="1"/>
    </xf>
    <xf numFmtId="49" fontId="0" fillId="0" borderId="0" xfId="0" applyFont="1" applyNumberFormat="1">
      <alignment vertical="top"/>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0" fillId="0" borderId="0" xfId="0" applyFont="1" applyNumberFormat="1">
      <alignment vertical="top"/>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23" fillId="0" borderId="0" xfId="0" applyFont="1" applyNumberFormat="1">
      <alignment vertical="top"/>
    </xf>
    <xf numFmtId="49" fontId="47" fillId="0" borderId="0" xfId="0" applyFont="1" applyNumberFormat="1">
      <alignment vertical="top"/>
    </xf>
    <xf numFmtId="49" fontId="23" fillId="0" borderId="26" xfId="0" applyFont="1" applyBorder="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49" fontId="55" fillId="0" borderId="0" xfId="0" applyFont="1" applyNumberFormat="1">
      <alignment horizontal="left" vertical="center"/>
    </xf>
    <xf numFmtId="49" fontId="55" fillId="0" borderId="0" xfId="0" applyFont="1" applyNumberFormat="1">
      <alignment vertical="top"/>
    </xf>
    <xf numFmtId="49" fontId="112" fillId="0" borderId="0" xfId="0" applyFont="1" applyNumberFormat="1">
      <alignment vertical="top"/>
    </xf>
    <xf numFmtId="49" fontId="102" fillId="0" borderId="0" xfId="0" applyFont="1" applyNumberFormat="1">
      <alignment horizontal="left" vertical="center"/>
    </xf>
    <xf numFmtId="49" fontId="55" fillId="0" borderId="0" xfId="0" applyFont="1" applyNumberFormat="1">
      <alignment horizontal="left" vertical="center" inden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49" fontId="0" fillId="0" borderId="0" xfId="0" applyFont="1" applyNumberFormat="1">
      <alignment vertical="top"/>
    </xf>
    <xf numFmtId="49" fontId="23" fillId="0" borderId="0" xfId="0" applyFont="1" applyNumberFormat="1">
      <alignment vertical="center" wrapText="1"/>
    </xf>
    <xf numFmtId="0" fontId="23" fillId="0" borderId="14" xfId="0" applyFont="1" applyBorder="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0" fontId="6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0" fontId="68" fillId="0" borderId="0" xfId="0" applyFont="1" applyNumberFormat="1">
      <alignment vertical="center" wrapText="1"/>
    </xf>
    <xf numFmtId="0" fontId="23" fillId="0" borderId="0" xfId="0" applyFont="1" applyNumberFormat="1">
      <alignment horizontal="left" vertical="top" wrapText="1"/>
    </xf>
    <xf numFmtId="0" fontId="23" fillId="0" borderId="0" xfId="0" applyFont="1" applyNumberFormat="1">
      <alignment horizontal="left" vertical="top" wrapText="1"/>
    </xf>
    <xf numFmtId="49" fontId="0" fillId="0" borderId="0" xfId="0" applyFont="1" applyNumberFormat="1">
      <alignment vertical="top"/>
    </xf>
    <xf numFmtId="49" fontId="0" fillId="0" borderId="0" xfId="0" applyFont="1" applyNumberFormat="1">
      <alignment vertical="top"/>
    </xf>
    <xf numFmtId="0" fontId="54" fillId="0" borderId="0" xfId="0" applyFont="1" applyNumberFormat="1">
      <alignment horizontal="center" vertical="center" wrapText="1"/>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49"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0" fontId="23" fillId="0" borderId="14" xfId="0" applyFont="1" applyBorder="1" applyNumberFormat="1">
      <alignment horizontal="center" vertical="center" wrapText="1"/>
    </xf>
    <xf numFmtId="0" fontId="23" fillId="0" borderId="14" xfId="0" applyFont="1" applyBorder="1" applyNumberFormat="1">
      <alignment vertical="center" wrapText="1"/>
    </xf>
    <xf numFmtId="0" fontId="89" fillId="0" borderId="0" xfId="0" applyFont="1" applyNumberFormat="1">
      <alignment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4" fontId="23" fillId="39" borderId="14" xfId="0" applyFont="1" applyFill="1" applyBorder="1" applyNumberFormat="1">
      <alignment horizontal="right" vertical="center" wrapText="1"/>
      <protection locked="0"/>
    </xf>
    <xf numFmtId="0" fontId="23" fillId="39" borderId="14" xfId="0" applyFont="1" applyFill="1" applyBorder="1" applyNumberFormat="1">
      <alignment horizontal="left" vertical="center" wrapText="1"/>
      <protection locked="0"/>
    </xf>
    <xf numFmtId="49" fontId="96" fillId="0" borderId="0" xfId="0" applyFont="1" applyNumberFormat="1">
      <alignment horizontal="center" vertical="center" wrapText="1"/>
    </xf>
    <xf numFmtId="49" fontId="23" fillId="0" borderId="0" xfId="0" applyFont="1" applyNumberFormat="1">
      <alignment horizontal="center" vertical="top" wrapText="1"/>
    </xf>
    <xf numFmtId="0" fontId="23" fillId="0" borderId="14" xfId="0" applyFont="1" applyBorder="1" applyNumberFormat="1">
      <alignment horizontal="center" vertical="center" wrapText="1"/>
    </xf>
    <xf numFmtId="0" fontId="23" fillId="0" borderId="15" xfId="0" applyFont="1" applyBorder="1" applyNumberFormat="1">
      <alignment vertical="top" wrapText="1"/>
    </xf>
    <xf numFmtId="0" fontId="59" fillId="0" borderId="0" xfId="0" applyFont="1" applyNumberFormat="1">
      <alignment vertical="center" wrapText="1"/>
    </xf>
    <xf numFmtId="0" fontId="23" fillId="0" borderId="15" xfId="0" applyFont="1" applyBorder="1" applyNumberFormat="1">
      <alignment horizontal="center" vertical="center" wrapText="1"/>
    </xf>
    <xf numFmtId="166" fontId="23" fillId="39" borderId="14" xfId="0" applyFont="1" applyFill="1" applyBorder="1" applyNumberFormat="1">
      <alignment horizontal="right" vertical="center" wrapText="1"/>
      <protection locked="0"/>
    </xf>
    <xf numFmtId="0" fontId="23" fillId="0" borderId="22" xfId="0" applyFont="1" applyBorder="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2" fillId="37" borderId="0" xfId="0" applyFont="1" applyFill="1" applyNumberFormat="1">
      <alignment horizontal="right" vertical="center"/>
    </xf>
    <xf numFmtId="0" fontId="23" fillId="0" borderId="16" xfId="0" applyFont="1" applyBorder="1" applyNumberFormat="1">
      <alignment vertical="center"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0" fontId="45" fillId="0" borderId="0" xfId="0" applyFont="1" applyNumberFormat="1">
      <alignment horizontal="center" vertical="center" wrapText="1"/>
    </xf>
    <xf numFmtId="49" fontId="23" fillId="40" borderId="16" xfId="0" applyFont="1" applyFill="1" applyBorder="1" applyNumberFormat="1">
      <alignment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14" xfId="0" applyFont="1" applyBorder="1" applyNumberFormat="1">
      <alignment horizontal="left" vertical="center" wrapText="1" indent="2"/>
    </xf>
    <xf numFmtId="14" fontId="23" fillId="0" borderId="0" xfId="0" applyFont="1" applyNumberFormat="1">
      <alignment horizontal="center" vertical="center" wrapText="1"/>
    </xf>
    <xf numFmtId="49" fontId="96" fillId="48" borderId="0" xfId="0" applyFont="1" applyFill="1" applyNumberFormat="1">
      <alignment horizontal="center" vertical="center" wrapText="1"/>
    </xf>
    <xf numFmtId="49" fontId="36" fillId="0" borderId="0" xfId="0" applyFont="1" applyNumberFormat="1">
      <alignment horizontal="center" vertical="center"/>
    </xf>
    <xf numFmtId="166" fontId="23" fillId="42" borderId="14" xfId="0" applyFont="1" applyFill="1" applyBorder="1" applyNumberFormat="1">
      <alignment horizontal="right" vertical="center" wrapText="1"/>
      <protection locked="0"/>
    </xf>
    <xf numFmtId="0" fontId="54" fillId="0" borderId="0" xfId="0" applyFont="1" applyNumberFormat="1">
      <alignment horizontal="left" vertical="center" wrapText="1"/>
    </xf>
    <xf numFmtId="49" fontId="96" fillId="0" borderId="0" xfId="0" applyFont="1" applyNumberFormat="1">
      <alignment horizontal="left" vertical="center" wrapText="1"/>
    </xf>
    <xf numFmtId="0" fontId="55" fillId="0" borderId="0" xfId="0" applyFont="1" applyNumberFormat="1">
      <alignment horizontal="left" vertical="center" wrapText="1"/>
    </xf>
    <xf numFmtId="49" fontId="23"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43" borderId="14" xfId="0" applyFont="1" applyFill="1" applyBorder="1" applyNumberFormat="1">
      <alignment horizontal="left" vertical="center" wrapText="1"/>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4" fontId="23" fillId="42" borderId="15" xfId="0" applyFont="1" applyFill="1" applyBorder="1" applyNumberFormat="1">
      <alignment horizontal="right" vertical="center" wrapText="1"/>
      <protection locked="0"/>
    </xf>
    <xf numFmtId="49" fontId="34" fillId="39" borderId="15" xfId="0" applyFont="1" applyFill="1" applyBorder="1" applyNumberFormat="1">
      <alignment horizontal="left" vertical="center" wrapText="1"/>
      <protection locked="0"/>
    </xf>
    <xf numFmtId="49" fontId="34" fillId="39" borderId="14" xfId="0" applyFont="1" applyFill="1" applyBorder="1" applyNumberFormat="1">
      <alignment horizontal="left" vertical="center" wrapText="1"/>
      <protection locked="0"/>
    </xf>
    <xf numFmtId="0" fontId="54" fillId="0" borderId="0" xfId="0" applyFont="1" applyNumberFormat="1">
      <alignment vertical="center" wrapText="1"/>
    </xf>
    <xf numFmtId="0" fontId="55" fillId="0" borderId="0" xfId="0" applyFont="1" applyNumberFormat="1">
      <alignment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166" fontId="23" fillId="42" borderId="15" xfId="0" applyFont="1" applyFill="1" applyBorder="1" applyNumberFormat="1">
      <alignment horizontal="right" vertical="center" wrapText="1"/>
      <protection locked="0"/>
    </xf>
    <xf numFmtId="0" fontId="89"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4" fillId="0" borderId="0" xfId="0" applyFont="1" applyNumberFormat="1">
      <alignment vertical="center" wrapText="1"/>
    </xf>
    <xf numFmtId="166" fontId="23" fillId="38" borderId="15" xfId="0" applyFont="1" applyFill="1" applyBorder="1" applyNumberFormat="1">
      <alignment horizontal="right" vertical="center" wrapText="1"/>
    </xf>
    <xf numFmtId="166" fontId="23" fillId="38" borderId="14" xfId="0" applyFont="1" applyFill="1" applyBorder="1" applyNumberFormat="1">
      <alignment horizontal="right" vertical="center" wrapText="1"/>
    </xf>
    <xf numFmtId="49" fontId="96" fillId="48" borderId="0" xfId="0" applyFont="1" applyFill="1" applyNumberFormat="1">
      <alignment horizontal="center" vertical="center" textRotation="90" wrapText="1"/>
    </xf>
    <xf numFmtId="0" fontId="23" fillId="42" borderId="14" xfId="0" applyFont="1" applyFill="1" applyBorder="1" applyNumberFormat="1">
      <alignment horizontal="center" vertical="center" wrapText="1"/>
      <protection locked="0"/>
    </xf>
    <xf numFmtId="4" fontId="23" fillId="42" borderId="31"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166" fontId="23" fillId="42" borderId="19" xfId="0" applyFont="1" applyFill="1" applyBorder="1" applyNumberFormat="1">
      <alignment horizontal="right" vertical="center" wrapText="1"/>
      <protection locked="0"/>
    </xf>
    <xf numFmtId="0" fontId="55" fillId="0" borderId="25" xfId="0" applyFont="1" applyBorder="1" applyNumberFormat="1">
      <alignment horizontal="left" vertical="center" wrapText="1" indent="1"/>
    </xf>
    <xf numFmtId="0" fontId="55" fillId="0" borderId="19" xfId="0" applyFont="1" applyBorder="1" applyNumberFormat="1">
      <alignment horizontal="center" vertical="center" wrapText="1"/>
    </xf>
    <xf numFmtId="0" fontId="45" fillId="0" borderId="0" xfId="0" applyFont="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25" xfId="0" applyFont="1" applyBorder="1" applyNumberFormat="1">
      <alignment vertical="top" wrapText="1"/>
    </xf>
    <xf numFmtId="0" fontId="55" fillId="0" borderId="19" xfId="0" applyFont="1" applyBorder="1" applyNumberFormat="1">
      <alignment horizontal="left" vertical="center" wrapText="1" indent="1"/>
    </xf>
    <xf numFmtId="49" fontId="34" fillId="39" borderId="14"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9" fillId="0" borderId="0" xfId="0" applyFont="1" applyNumberFormat="1">
      <alignment vertical="center"/>
    </xf>
    <xf numFmtId="0" fontId="96" fillId="0" borderId="0" xfId="0" applyFont="1" applyNumberFormat="1">
      <alignment vertical="center" wrapText="1"/>
    </xf>
    <xf numFmtId="49" fontId="96" fillId="0" borderId="0" xfId="0" applyFont="1" applyNumberFormat="1">
      <alignment horizontal="center" vertical="center" wrapText="1"/>
    </xf>
    <xf numFmtId="0" fontId="23" fillId="0" borderId="0" xfId="0" applyFont="1" applyNumberFormat="1">
      <alignment vertical="center" wrapText="1"/>
    </xf>
    <xf numFmtId="0" fontId="59" fillId="0" borderId="0" xfId="0" applyFont="1" applyNumberFormat="1">
      <alignment vertical="center" wrapText="1"/>
    </xf>
    <xf numFmtId="0" fontId="23" fillId="0" borderId="21" xfId="0" applyFont="1" applyBorder="1" applyNumberFormat="1">
      <alignment vertical="center" wrapText="1"/>
    </xf>
    <xf numFmtId="0" fontId="23" fillId="0" borderId="0" xfId="0" applyFont="1" applyNumberFormat="1">
      <alignment horizontal="center" vertical="center" wrapText="1"/>
    </xf>
    <xf numFmtId="49" fontId="40" fillId="0" borderId="0" xfId="0" applyFont="1" applyNumberFormat="1">
      <alignment horizontal="center" vertical="center" wrapText="1"/>
    </xf>
    <xf numFmtId="0" fontId="23" fillId="0" borderId="29" xfId="0" applyFont="1" applyBorder="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36" fillId="0" borderId="0" xfId="0" applyFont="1" applyNumberFormat="1">
      <alignment horizontal="center" vertical="center" wrapText="1"/>
    </xf>
    <xf numFmtId="49" fontId="68" fillId="0" borderId="0" xfId="0" applyFont="1" applyNumberFormat="1">
      <alignment horizontal="center" vertical="center" wrapText="1"/>
    </xf>
    <xf numFmtId="0" fontId="77" fillId="0" borderId="0" xfId="0" applyFont="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68" fillId="0" borderId="0" xfId="0" applyFont="1" applyNumberFormat="1">
      <alignment vertical="center" wrapText="1"/>
    </xf>
    <xf numFmtId="0" fontId="76" fillId="0" borderId="0" xfId="0" applyFont="1" applyNumberFormat="1">
      <alignment vertical="center" wrapText="1"/>
    </xf>
    <xf numFmtId="0" fontId="23" fillId="0" borderId="14" xfId="0" applyFont="1" applyBorder="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center" vertical="center" wrapText="1"/>
    </xf>
    <xf numFmtId="0" fontId="23" fillId="0" borderId="0" xfId="0" applyFont="1" applyNumberFormat="1">
      <alignment vertical="center" wrapText="1"/>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19" xfId="0" applyFont="1" applyBorder="1" applyNumberFormat="1">
      <alignment horizontal="center" vertical="center" wrapText="1"/>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38" borderId="14" xfId="0" applyFont="1" applyFill="1" applyBorder="1" applyNumberFormat="1">
      <alignment horizontal="left" vertical="center" wrapText="1" indent="1"/>
    </xf>
    <xf numFmtId="0" fontId="23" fillId="0" borderId="15" xfId="0" applyFont="1" applyBorder="1" applyNumberFormat="1">
      <alignment horizontal="left" vertical="center" wrapText="1" indent="1"/>
    </xf>
    <xf numFmtId="49" fontId="55" fillId="0" borderId="24" xfId="0" applyFont="1" applyBorder="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0" fontId="54" fillId="0" borderId="0" xfId="0" applyFont="1" applyNumberFormat="1">
      <alignment horizontal="center"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49" fontId="55"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25" xfId="0" applyFont="1" applyBorder="1" applyNumberFormat="1">
      <alignment horizontal="left" vertical="center" wrapText="1"/>
    </xf>
    <xf numFmtId="2" fontId="23" fillId="0" borderId="25" xfId="0" applyFont="1" applyBorder="1" applyNumberFormat="1">
      <alignment horizontal="center" vertical="center" wrapText="1"/>
    </xf>
    <xf numFmtId="0" fontId="23" fillId="0" borderId="14" xfId="0" applyFont="1" applyBorder="1" applyNumberFormat="1">
      <alignment horizontal="left" vertical="center" wrapText="1"/>
    </xf>
    <xf numFmtId="49" fontId="55" fillId="0" borderId="24" xfId="0" applyFont="1" applyBorder="1" applyNumberFormat="1">
      <alignment vertical="top"/>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24" xfId="0" applyFont="1" applyBorder="1" applyNumberFormat="1">
      <alignmen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23" fillId="0" borderId="25" xfId="0" applyFont="1" applyBorder="1" applyNumberFormat="1">
      <alignment horizontal="left" vertical="center" wrapText="1"/>
    </xf>
    <xf numFmtId="0" fontId="23" fillId="0" borderId="14" xfId="0" applyFont="1" applyBorder="1" applyNumberFormat="1">
      <alignment horizontal="left" vertical="center" wrapText="1"/>
    </xf>
    <xf numFmtId="0" fontId="54" fillId="0" borderId="0" xfId="0" applyFont="1" applyNumberFormat="1">
      <alignment horizontal="center" vertical="top"/>
    </xf>
    <xf numFmtId="0" fontId="55" fillId="0" borderId="0" xfId="0" applyFont="1" applyNumberFormat="1">
      <alignment horizontal="center" vertical="center" wrapText="1"/>
    </xf>
    <xf numFmtId="49" fontId="55" fillId="0" borderId="25" xfId="0" applyFont="1" applyBorder="1" applyNumberFormat="1">
      <alignment horizontal="center" vertical="center" wrapText="1"/>
    </xf>
    <xf numFmtId="49" fontId="48" fillId="0" borderId="21"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53" fillId="0" borderId="0" xfId="0" applyFont="1" applyNumberFormat="1">
      <alignment horizontal="left" vertical="top" wrapText="1"/>
    </xf>
    <xf numFmtId="49" fontId="40" fillId="0" borderId="0" xfId="0" applyFont="1" applyNumberFormat="1">
      <alignment horizontal="center" vertical="center" wrapText="1"/>
    </xf>
    <xf numFmtId="0" fontId="55" fillId="0" borderId="0" xfId="0" applyFont="1" applyNumberFormat="1">
      <alignment vertical="center" wrapText="1"/>
    </xf>
    <xf numFmtId="0" fontId="40"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55" fillId="0" borderId="16" xfId="0" applyFont="1" applyBorder="1" applyNumberFormat="1">
      <alignment vertical="center" wrapTex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55" fillId="0" borderId="16" xfId="0" applyFont="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14" xfId="0" applyFont="1" applyBorder="1" applyNumberFormat="1">
      <alignment horizontal="left" vertical="center" wrapText="1"/>
    </xf>
    <xf numFmtId="49" fontId="23" fillId="0" borderId="61" xfId="0" applyFont="1" applyBorder="1" applyNumberFormat="1">
      <alignment horizontal="center" vertical="center" wrapText="1"/>
    </xf>
    <xf numFmtId="0" fontId="23"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5"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9" fontId="48" fillId="40" borderId="21" xfId="0" applyFont="1" applyFill="1" applyBorder="1" applyNumberFormat="1">
      <alignment horizontal="left" vertical="center" indent="2"/>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9" xfId="0" applyFont="1" applyBorder="1" applyNumberFormat="1">
      <alignment horizontal="left" vertical="center" wrapText="1"/>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9" xfId="0" applyFont="1" applyBorder="1" applyNumberFormat="1">
      <alignment horizontal="left" vertical="center" wrapText="1" indent="1"/>
    </xf>
    <xf numFmtId="0" fontId="23" fillId="0" borderId="19"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left" vertical="center" wrapText="1" inden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horizontal="left" vertical="top"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9" fontId="23" fillId="58" borderId="0" xfId="0" applyFont="1" applyFill="1" applyNumberFormat="1">
      <alignment horizontal="center" vertical="center" textRotation="90"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76" fillId="0" borderId="24" xfId="0" applyFont="1" applyBorder="1" applyNumberFormat="1">
      <alignment vertical="center" wrapText="1"/>
    </xf>
    <xf numFmtId="49"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23" fillId="0" borderId="14" xfId="0" applyFont="1" applyBorder="1" applyNumberFormat="1">
      <alignment horizontal="center" vertical="center" wrapText="1"/>
    </xf>
    <xf numFmtId="49" fontId="23" fillId="39" borderId="14" xfId="0" applyFont="1" applyFill="1" applyBorder="1" applyNumberFormat="1">
      <alignment horizontal="left" vertical="center" wrapText="1"/>
      <protection locked="0"/>
    </xf>
    <xf numFmtId="3" fontId="23" fillId="39" borderId="16" xfId="0" applyFont="1" applyFill="1" applyBorder="1" applyNumberFormat="1">
      <alignment horizontal="right" vertical="center" wrapText="1"/>
      <protection locked="0"/>
    </xf>
    <xf numFmtId="4" fontId="23" fillId="39" borderId="16" xfId="0" applyFont="1" applyFill="1" applyBorder="1" applyNumberFormat="1">
      <alignment horizontal="right" vertical="center" wrapText="1"/>
      <protection locked="0"/>
    </xf>
    <xf numFmtId="49" fontId="23" fillId="42" borderId="14"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88" fillId="0" borderId="0" xfId="0" applyFont="1" applyNumberFormat="1">
      <alignment vertical="center" wrapText="1"/>
    </xf>
    <xf numFmtId="0" fontId="23" fillId="0" borderId="14" xfId="0" applyFont="1" applyBorder="1" applyNumberFormat="1">
      <alignment horizontal="left" vertical="center" wrapText="1" indent="2"/>
    </xf>
    <xf numFmtId="3" fontId="53" fillId="39" borderId="14" xfId="0" applyFont="1" applyFill="1" applyBorder="1" applyNumberFormat="1">
      <alignment horizontal="right" vertical="center"/>
      <protection locked="0"/>
    </xf>
    <xf numFmtId="49" fontId="23" fillId="39" borderId="16" xfId="0" applyFont="1" applyFill="1" applyBorder="1" applyNumberFormat="1">
      <alignment horizontal="left" vertical="center" wrapText="1"/>
      <protection locked="0"/>
    </xf>
    <xf numFmtId="0" fontId="53"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4" xfId="0" applyFont="1" applyBorder="1" applyNumberFormat="1">
      <alignment horizontal="left" vertical="center" wrapText="1"/>
    </xf>
    <xf numFmtId="49" fontId="23" fillId="0" borderId="34" xfId="0" applyFont="1" applyBorder="1" applyNumberFormat="1">
      <alignment horizontal="center" vertical="center" wrapText="1"/>
    </xf>
    <xf numFmtId="0" fontId="23" fillId="0" borderId="34" xfId="0" applyFont="1" applyBorder="1" applyNumberFormat="1">
      <alignment horizontal="left" vertical="center" wrapText="1"/>
    </xf>
    <xf numFmtId="4" fontId="23" fillId="0" borderId="42" xfId="0" applyFont="1" applyBorder="1" applyNumberFormat="1">
      <alignment horizontal="center" vertical="center" wrapText="1"/>
    </xf>
    <xf numFmtId="49" fontId="34" fillId="0" borderId="32"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5"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34" fillId="0" borderId="16" xfId="0" applyFont="1" applyBorder="1" applyNumberFormat="1">
      <alignment horizontal="left" vertical="center" wrapText="1"/>
    </xf>
    <xf numFmtId="4" fontId="23" fillId="0" borderId="19"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0" fontId="23" fillId="0" borderId="35" xfId="0" applyFont="1" applyBorder="1" applyNumberFormat="1">
      <alignment horizontal="left" vertical="center" wrapText="1"/>
    </xf>
    <xf numFmtId="49" fontId="34" fillId="0" borderId="17"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0" borderId="34"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2"/>
    </xf>
    <xf numFmtId="4" fontId="23" fillId="0" borderId="33" xfId="0" applyFont="1" applyBorder="1" applyNumberFormat="1">
      <alignment horizontal="center" vertical="center" wrapText="1"/>
    </xf>
    <xf numFmtId="49" fontId="23" fillId="0" borderId="36" xfId="0" applyFont="1" applyBorder="1" applyNumberFormat="1">
      <alignment horizontal="center" vertical="center" wrapText="1"/>
    </xf>
    <xf numFmtId="49" fontId="34" fillId="42" borderId="14"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 fontId="23" fillId="0" borderId="37" xfId="0" applyFont="1" applyBorder="1" applyNumberFormat="1">
      <alignment horizontal="center" vertical="center" wrapText="1"/>
    </xf>
    <xf numFmtId="49" fontId="34" fillId="0" borderId="39" xfId="0" applyFont="1" applyBorder="1" applyNumberFormat="1">
      <alignment horizontal="left" vertical="center" wrapText="1"/>
    </xf>
    <xf numFmtId="49" fontId="23" fillId="0" borderId="35"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 fontId="23" fillId="42" borderId="36" xfId="0" applyFont="1" applyFill="1" applyBorder="1" applyNumberFormat="1">
      <alignment horizontal="right" vertical="center" wrapText="1"/>
      <protection locked="0"/>
    </xf>
    <xf numFmtId="49" fontId="34" fillId="42" borderId="16" xfId="0" applyFont="1" applyFill="1" applyBorder="1" applyNumberFormat="1">
      <alignment horizontal="left" vertical="center" wrapText="1"/>
      <protection locked="0"/>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0" fillId="0" borderId="16" xfId="0" applyFont="1" applyBorder="1" applyNumberFormat="1">
      <alignment horizontal="center" vertical="center"/>
    </xf>
    <xf numFmtId="0" fontId="23" fillId="0" borderId="15" xfId="0" applyFont="1" applyBorder="1" applyNumberFormat="1">
      <alignment horizontal="center" vertical="center" wrapText="1"/>
    </xf>
    <xf numFmtId="167" fontId="0" fillId="39"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44" fillId="0" borderId="0" xfId="0" applyFont="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0" borderId="15"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5" xfId="0" applyFont="1" applyBorder="1" applyNumberFormat="1">
      <alignment horizontal="center"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vertical="center" wrapText="1"/>
    </xf>
    <xf numFmtId="0" fontId="23" fillId="40" borderId="29" xfId="0" applyFont="1" applyFill="1" applyBorder="1" applyNumberFormat="1">
      <alignment vertical="center" wrapText="1"/>
    </xf>
    <xf numFmtId="0" fontId="44" fillId="0" borderId="0" xfId="0" applyFont="1" applyNumberFormat="1">
      <alignment horizontal="center" vertical="center" wrapText="1"/>
    </xf>
    <xf numFmtId="0" fontId="88" fillId="0" borderId="0" xfId="0" applyFont="1" applyNumberFormat="1">
      <alignment vertical="center" wrapText="1"/>
    </xf>
    <xf numFmtId="49" fontId="54" fillId="0" borderId="0" xfId="0" applyFont="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49" fontId="103" fillId="0" borderId="0" xfId="0" applyFont="1" applyNumberFormat="1">
      <alignment horizontal="center"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0" fontId="0" fillId="0" borderId="14" xfId="0" applyFont="1" applyBorder="1" applyNumberFormat="1">
      <alignment horizontal="left" vertical="center" wrapText="1" indent="1"/>
    </xf>
    <xf numFmtId="49"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55" fillId="0" borderId="0" xfId="0" applyFont="1" applyNumberFormat="1">
      <alignment horizontal="center" vertical="center" wrapText="1"/>
    </xf>
    <xf numFmtId="49" fontId="23" fillId="0" borderId="16" xfId="0" applyFont="1" applyBorder="1" applyNumberFormat="1">
      <alignment horizontal="center" vertical="center" wrapText="1"/>
    </xf>
    <xf numFmtId="49" fontId="48" fillId="40" borderId="16" xfId="0" applyFont="1" applyFill="1" applyBorder="1" applyNumberFormat="1">
      <alignment horizontal="left" vertical="center" indent="1"/>
    </xf>
    <xf numFmtId="0" fontId="23" fillId="40" borderId="31" xfId="0" applyFont="1" applyFill="1" applyBorder="1" applyNumberFormat="1">
      <alignment vertical="center" wrapText="1"/>
    </xf>
    <xf numFmtId="49" fontId="54" fillId="0" borderId="0" xfId="0" applyFont="1" applyNumberFormat="1">
      <alignment horizontal="center" vertical="center" wrapText="1"/>
    </xf>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78" fillId="0" borderId="41" xfId="0" applyFont="1" applyBorder="1" applyNumberFormat="1">
      <alignment vertical="top"/>
    </xf>
    <xf numFmtId="49" fontId="78" fillId="0" borderId="41" xfId="0" applyFont="1" applyBorder="1" applyNumberFormat="1">
      <alignment vertical="top"/>
    </xf>
    <xf numFmtId="0" fontId="36" fillId="37" borderId="41" xfId="0" applyFont="1" applyFill="1" applyBorder="1" applyNumberFormat="1">
      <alignment horizontal="center" wrapText="1"/>
    </xf>
    <xf numFmtId="0" fontId="36" fillId="37" borderId="41" xfId="0" applyFont="1" applyFill="1" applyBorder="1" applyNumberFormat="1">
      <alignment horizont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40" xfId="0" applyFont="1" applyBorder="1" applyNumberFormat="1">
      <alignmen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0" fillId="0" borderId="14" xfId="0" applyFont="1" applyBorder="1" applyNumberFormat="1">
      <alignment horizontal="center" vertical="center" wrapText="1"/>
    </xf>
    <xf numFmtId="49" fontId="23" fillId="0" borderId="0" xfId="0" applyFont="1" applyNumberFormat="1">
      <alignment vertical="top"/>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0" fontId="23" fillId="37" borderId="0" xfId="0" applyFont="1" applyFill="1" applyNumberFormat="1">
      <alignment vertical="center" wrapText="1"/>
    </xf>
    <xf numFmtId="0" fontId="23" fillId="37" borderId="21" xfId="0" applyFont="1" applyFill="1" applyBorder="1" applyNumberFormat="1">
      <alignment vertical="center" wrapText="1"/>
    </xf>
    <xf numFmtId="49" fontId="23" fillId="0" borderId="0" xfId="0" applyFont="1" applyNumberFormat="1">
      <alignment vertical="top"/>
    </xf>
    <xf numFmtId="49" fontId="55" fillId="0" borderId="0" xfId="0" applyFont="1" applyNumberFormat="1">
      <alignment vertical="top"/>
    </xf>
    <xf numFmtId="0" fontId="55" fillId="0" borderId="41" xfId="0" applyFont="1" applyBorder="1" applyNumberFormat="1">
      <alignment vertical="center" wrapText="1"/>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0" fontId="23" fillId="0" borderId="40" xfId="0" applyFont="1" applyBorder="1" applyNumberFormat="1">
      <alignment vertical="center"/>
    </xf>
    <xf numFmtId="49" fontId="0" fillId="0" borderId="19"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23" fillId="0" borderId="24" xfId="0" applyFont="1" applyBorder="1" applyNumberFormat="1">
      <alignment vertical="top"/>
    </xf>
    <xf numFmtId="49" fontId="0" fillId="0" borderId="38"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xf>
    <xf numFmtId="49" fontId="0" fillId="38" borderId="14" xfId="0" applyFont="1" applyFill="1" applyBorder="1" applyNumberFormat="1">
      <alignment horizontal="center" vertical="center"/>
    </xf>
    <xf numFmtId="0" fontId="23" fillId="0" borderId="24" xfId="0" applyFont="1" applyBorder="1" applyNumberFormat="1">
      <alignment vertical="center" wrapText="1"/>
    </xf>
    <xf numFmtId="49" fontId="0" fillId="0" borderId="14"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 fontId="0" fillId="39"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horizontal="left" vertical="center" wrapText="1"/>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49" fontId="54" fillId="0" borderId="0" xfId="0" applyFont="1" applyNumberFormat="1">
      <alignment horizontal="center" vertical="center" wrapText="1"/>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23" fillId="0" borderId="0" xfId="0" applyFont="1" applyNumberFormat="1">
      <alignment horizontal="center" vertical="top" wrapText="1"/>
    </xf>
    <xf numFmtId="49" fontId="40"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2" xfId="0" applyFont="1" applyBorder="1" applyNumberFormat="1">
      <alignment horizontal="left" vertical="top" wrapText="1"/>
    </xf>
    <xf numFmtId="49" fontId="23" fillId="0" borderId="0" xfId="0" applyFont="1" applyNumberFormat="1">
      <alignment horizontal="center" vertical="center" wrapText="1"/>
    </xf>
    <xf numFmtId="49" fontId="40" fillId="0" borderId="0" xfId="0" applyFont="1" applyNumberFormat="1">
      <alignment horizontal="center" vertical="center" wrapText="1"/>
    </xf>
    <xf numFmtId="49" fontId="23" fillId="37" borderId="0" xfId="0" applyFont="1" applyFill="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49" fontId="53" fillId="37" borderId="0" xfId="0" applyFont="1" applyFill="1" applyNumberFormat="1">
      <alignment vertical="center" wrapText="1"/>
    </xf>
    <xf numFmtId="49" fontId="23" fillId="37" borderId="14"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49" fontId="23" fillId="0" borderId="0" xfId="0" applyFont="1" applyNumberFormat="1">
      <alignment vertical="center" wrapText="1"/>
    </xf>
    <xf numFmtId="49" fontId="53" fillId="0" borderId="0" xfId="0" applyFont="1" applyNumberFormat="1">
      <alignment vertical="top"/>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3" fillId="0" borderId="0" xfId="0" applyFont="1" applyNumberFormat="1">
      <alignment vertical="center"/>
    </xf>
    <xf numFmtId="49" fontId="53" fillId="37" borderId="0" xfId="0" applyFont="1" applyFill="1" applyNumberFormat="1">
      <alignment vertical="center"/>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104"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49" fontId="53" fillId="0" borderId="0" xfId="0" applyFont="1" applyNumberFormat="1">
      <alignment vertical="center" wrapText="1"/>
    </xf>
    <xf numFmtId="49" fontId="53" fillId="0" borderId="0" xfId="0" applyFont="1" applyNumberFormat="1">
      <alignment vertical="top"/>
    </xf>
    <xf numFmtId="0" fontId="53" fillId="0" borderId="0" xfId="0" applyFont="1" applyNumberFormat="1">
      <alignment vertical="center" wrapText="1"/>
    </xf>
    <xf numFmtId="49" fontId="99" fillId="0" borderId="0" xfId="0" applyFont="1" applyNumberFormat="1">
      <alignment vertical="center" wrapText="1"/>
    </xf>
    <xf numFmtId="49" fontId="53" fillId="0" borderId="0" xfId="0" applyFont="1" applyNumberFormat="1">
      <alignment vertical="center" wrapText="1"/>
    </xf>
    <xf numFmtId="49" fontId="104" fillId="0" borderId="0" xfId="0" applyFont="1" applyNumberFormat="1">
      <alignment vertical="center"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4" xfId="0" applyFont="1" applyBorder="1" applyNumberFormat="1">
      <alignment horizontal="left" vertical="top" wrapText="1"/>
    </xf>
    <xf numFmtId="3" fontId="23" fillId="42" borderId="16" xfId="0" applyFont="1" applyFill="1" applyBorder="1" applyNumberFormat="1">
      <alignment vertical="center" wrapText="1"/>
      <protection locked="0"/>
    </xf>
    <xf numFmtId="0" fontId="23" fillId="0" borderId="14" xfId="0" applyFont="1" applyBorder="1" applyNumberFormat="1">
      <alignment vertical="top" wrapText="1"/>
    </xf>
    <xf numFmtId="0" fontId="23" fillId="0" borderId="14" xfId="0" applyFont="1" applyBorder="1" applyNumberFormat="1">
      <alignment horizontal="left" vertical="top" wrapText="1"/>
    </xf>
    <xf numFmtId="4" fontId="23" fillId="38" borderId="16" xfId="0" applyFont="1" applyFill="1" applyBorder="1" applyNumberFormat="1">
      <alignment horizontal="right" vertical="center" wrapText="1"/>
    </xf>
    <xf numFmtId="0" fontId="54" fillId="0" borderId="14" xfId="0" applyFont="1" applyBorder="1" applyNumberFormat="1">
      <alignment vertical="top" wrapText="1"/>
    </xf>
    <xf numFmtId="0" fontId="45" fillId="0" borderId="0" xfId="0" applyFont="1" applyNumberFormat="1">
      <alignment horizontal="center" vertical="center" wrapText="1"/>
    </xf>
    <xf numFmtId="49" fontId="23" fillId="42" borderId="14"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7"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0"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4" fillId="37" borderId="0" xfId="0" applyFont="1" applyFill="1" applyNumberFormat="1">
      <alignment horizontal="center" vertical="center" wrapText="1"/>
    </xf>
    <xf numFmtId="49" fontId="23" fillId="0" borderId="0" xfId="0" applyFont="1" applyNumberFormat="1">
      <alignment vertical="top"/>
    </xf>
    <xf numFmtId="49" fontId="0" fillId="37" borderId="14" xfId="0" applyFont="1" applyFill="1" applyBorder="1" applyNumberFormat="1">
      <alignment horizontal="center" vertical="center" wrapText="1"/>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34" fillId="42" borderId="14" xfId="0" applyFont="1" applyFill="1" applyBorder="1" applyNumberFormat="1">
      <alignment horizontal="left" vertical="center" wrapText="1"/>
      <protection locked="0"/>
    </xf>
    <xf numFmtId="0"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49" fontId="52" fillId="40" borderId="15"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47" fillId="37" borderId="0" xfId="0" applyFont="1" applyFill="1" applyNumberFormat="1">
      <alignment vertical="center" wrapText="1"/>
    </xf>
    <xf numFmtId="49" fontId="52" fillId="40" borderId="17" xfId="0" applyFont="1" applyFill="1" applyBorder="1" applyNumberFormat="1">
      <alignment horizontal="center" vertical="top"/>
    </xf>
    <xf numFmtId="0" fontId="55" fillId="0" borderId="0" xfId="0" applyFont="1" applyNumberFormat="1">
      <alignment vertical="center"/>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49" fontId="72" fillId="0" borderId="14" xfId="0" applyFont="1" applyBorder="1" applyNumberFormat="1">
      <alignment horizontal="center" vertical="center" wrapText="1"/>
    </xf>
    <xf numFmtId="0" fontId="72" fillId="0" borderId="14" xfId="0" applyFont="1" applyBorder="1" applyNumberFormat="1">
      <alignment horizontal="left" vertical="center" wrapText="1" indent="2"/>
    </xf>
    <xf numFmtId="49" fontId="75" fillId="0" borderId="16" xfId="0" applyFont="1" applyBorder="1" applyNumberFormat="1">
      <alignment horizontal="left" vertical="center" wrapText="1"/>
    </xf>
    <xf numFmtId="0" fontId="23" fillId="0" borderId="19" xfId="0" applyFont="1" applyBorder="1" applyNumberFormat="1">
      <alignment vertical="top" wrapText="1"/>
    </xf>
    <xf numFmtId="49" fontId="48" fillId="40" borderId="17" xfId="0" applyFont="1" applyFill="1" applyBorder="1" applyNumberFormat="1">
      <alignment horizontal="left" vertical="center" indent="1"/>
    </xf>
    <xf numFmtId="0" fontId="23" fillId="0" borderId="25" xfId="0" applyFont="1" applyBorder="1" applyNumberFormat="1">
      <alignment vertical="top"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4" fillId="0" borderId="0" xfId="0" applyFont="1" applyNumberFormat="1">
      <alignment vertical="center" wrapText="1"/>
    </xf>
    <xf numFmtId="0" fontId="47" fillId="0" borderId="0" xfId="0" applyFont="1" applyNumberFormat="1">
      <alignment vertical="center" wrapText="1"/>
    </xf>
    <xf numFmtId="49" fontId="54" fillId="0" borderId="0" xfId="0" applyFont="1" applyNumberFormat="1">
      <alignment vertical="top"/>
    </xf>
    <xf numFmtId="49" fontId="126" fillId="0" borderId="0" xfId="0" applyFont="1" applyNumberFormat="1">
      <alignment horizontal="center" vertical="center" wrapText="1"/>
    </xf>
    <xf numFmtId="0" fontId="0" fillId="42" borderId="14" xfId="0" applyFont="1" applyFill="1" applyBorder="1" applyNumberFormat="1">
      <alignment horizontal="left" vertical="center" wrapText="1" indent="1"/>
      <protection locked="0"/>
    </xf>
    <xf numFmtId="49" fontId="34" fillId="42" borderId="14" xfId="0" applyFont="1" applyFill="1" applyBorder="1" applyNumberFormat="1">
      <alignment horizontal="left" vertical="center" wrapText="1"/>
      <protection locked="0"/>
    </xf>
    <xf numFmtId="0" fontId="47" fillId="0" borderId="0" xfId="0" applyFont="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0" fillId="0" borderId="14" xfId="0" applyFont="1" applyBorder="1" applyNumberFormat="1">
      <alignment horizontal="left" vertical="center" wrapText="1"/>
    </xf>
    <xf numFmtId="167" fontId="0" fillId="42" borderId="14" xfId="0" applyFont="1" applyFill="1" applyBorder="1" applyNumberFormat="1">
      <alignment horizontal="left" vertical="center" wrapText="1"/>
      <protection locked="0"/>
    </xf>
    <xf numFmtId="0" fontId="130" fillId="42" borderId="14" xfId="0" applyFont="1" applyFill="1" applyBorder="1" applyNumberFormat="1">
      <alignment horizontal="left" vertical="center" wrapText="1"/>
      <protection locked="0"/>
    </xf>
    <xf numFmtId="49" fontId="13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0" fillId="0" borderId="14" xfId="0" applyFont="1" applyBorder="1" applyNumberFormat="1">
      <alignment horizontal="left"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4" xfId="0" applyFont="1" applyBorder="1" applyNumberFormat="1">
      <alignment vertical="top" wrapText="1"/>
    </xf>
    <xf numFmtId="0" fontId="23" fillId="0" borderId="0" xfId="0" applyFont="1" applyNumberFormat="1">
      <alignment vertical="center" wrapText="1"/>
    </xf>
    <xf numFmtId="49" fontId="54" fillId="0" borderId="0" xfId="0" applyFont="1" applyNumberFormat="1">
      <alignment vertical="top"/>
    </xf>
    <xf numFmtId="49" fontId="126" fillId="0" borderId="0" xfId="0" applyFont="1" applyNumberFormat="1">
      <alignment horizontal="center" vertical="center" wrapText="1"/>
    </xf>
    <xf numFmtId="49" fontId="0" fillId="37" borderId="14" xfId="0" applyFont="1" applyFill="1" applyBorder="1" applyNumberFormat="1">
      <alignment horizontal="center" vertical="center" wrapText="1"/>
    </xf>
    <xf numFmtId="0" fontId="0" fillId="42" borderId="14" xfId="0" applyFont="1" applyFill="1" applyBorder="1" applyNumberFormat="1">
      <alignment horizontal="left" vertical="center" wrapText="1" indent="1"/>
      <protection locked="0"/>
    </xf>
    <xf numFmtId="49" fontId="130" fillId="42" borderId="14" xfId="0" applyFont="1" applyFill="1" applyBorder="1" applyNumberFormat="1">
      <alignment horizontal="left" vertical="center" wrapText="1"/>
      <protection locked="0"/>
    </xf>
    <xf numFmtId="0" fontId="55" fillId="0" borderId="0" xfId="0" applyFont="1" applyNumberFormat="1">
      <alignment vertical="center"/>
    </xf>
    <xf numFmtId="49" fontId="48" fillId="40" borderId="17" xfId="0" applyFont="1" applyFill="1" applyBorder="1" applyNumberFormat="1">
      <alignment horizontal="left" vertical="center" indent="2"/>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protection locked="0"/>
    </xf>
    <xf numFmtId="49" fontId="48" fillId="40" borderId="17" xfId="0" applyFont="1" applyFill="1" applyBorder="1" applyNumberFormat="1">
      <alignment horizontal="left" vertical="center" indent="3"/>
    </xf>
    <xf numFmtId="49" fontId="23" fillId="43" borderId="14" xfId="0" applyFont="1" applyFill="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5" xfId="0" applyFont="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49" fontId="52" fillId="40" borderId="15" xfId="0" applyFont="1" applyFill="1" applyBorder="1" applyNumberFormat="1">
      <alignment horizontal="center" vertical="top"/>
    </xf>
    <xf numFmtId="0" fontId="0" fillId="0" borderId="15"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4" xfId="0" applyFont="1" applyBorder="1" applyNumberFormat="1">
      <alignment horizontal="center" vertical="center" wrapText="1"/>
    </xf>
    <xf numFmtId="0" fontId="23" fillId="0" borderId="17" xfId="0" applyFont="1" applyBorder="1" applyNumberFormat="1">
      <alignment horizontal="left" vertical="top" wrapText="1" indent="1"/>
    </xf>
    <xf numFmtId="0" fontId="22" fillId="0" borderId="0" xfId="0" applyFont="1" applyNumberFormat="1">
      <alignment vertical="center" wrapText="1"/>
    </xf>
    <xf numFmtId="0" fontId="0" fillId="37" borderId="16" xfId="0" applyFont="1" applyFill="1" applyBorder="1" applyNumberFormat="1">
      <alignment horizontal="right" vertical="center" wrapText="1" indent="1"/>
    </xf>
    <xf numFmtId="0" fontId="76" fillId="0" borderId="0" xfId="0" applyFont="1" applyNumberFormat="1">
      <alignment vertical="center" wrapText="1"/>
    </xf>
    <xf numFmtId="49" fontId="44" fillId="37" borderId="0" xfId="0" applyFont="1" applyFill="1" applyNumberFormat="1">
      <alignment horizontal="center" vertical="center" wrapText="1"/>
    </xf>
    <xf numFmtId="49" fontId="44" fillId="37" borderId="21" xfId="0" applyFont="1" applyFill="1" applyBorder="1" applyNumberFormat="1">
      <alignment horizontal="center" vertical="center" wrapText="1"/>
    </xf>
    <xf numFmtId="49" fontId="0" fillId="37" borderId="19"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23" fillId="0" borderId="14" xfId="0" applyFont="1" applyBorder="1" applyNumberFormat="1">
      <alignment horizontal="left" vertical="center" wrapText="1"/>
    </xf>
    <xf numFmtId="0" fontId="47" fillId="37" borderId="0" xfId="0" applyFont="1" applyFill="1" applyNumberFormat="1">
      <alignment horizontal="center" vertical="top" wrapText="1"/>
    </xf>
    <xf numFmtId="0" fontId="0" fillId="38" borderId="16" xfId="0" applyFont="1" applyFill="1" applyBorder="1" applyNumberFormat="1">
      <alignment horizontal="left" vertical="center" wrapText="1" indent="1"/>
    </xf>
    <xf numFmtId="0" fontId="0" fillId="0" borderId="15" xfId="0" applyFont="1" applyBorder="1" applyNumberFormat="1">
      <alignment horizontal="center" vertical="center" wrapText="1"/>
    </xf>
    <xf numFmtId="0" fontId="0" fillId="0" borderId="15" xfId="0" applyFont="1" applyBorder="1" applyNumberFormat="1">
      <alignment horizontal="center" vertical="center" wrapText="1"/>
    </xf>
    <xf numFmtId="49" fontId="48" fillId="40" borderId="29" xfId="0" applyFont="1" applyFill="1" applyBorder="1" applyNumberFormat="1">
      <alignment horizontal="left" vertical="center" indent="2"/>
    </xf>
    <xf numFmtId="49" fontId="48" fillId="40" borderId="17" xfId="0" applyFont="1" applyFill="1" applyBorder="1" applyNumberFormat="1">
      <alignment horizontal="left" vertical="center"/>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23" fillId="0" borderId="0" xfId="0" applyFont="1" applyNumberFormat="1">
      <alignment vertical="center" wrapText="1"/>
    </xf>
    <xf numFmtId="0" fontId="23" fillId="0" borderId="0" xfId="0" applyFont="1" applyNumberFormat="1">
      <alignment vertical="top" wrapText="1"/>
    </xf>
    <xf numFmtId="0" fontId="47" fillId="0" borderId="0" xfId="0" applyFont="1" applyNumberFormat="1">
      <alignment vertical="center" wrapText="1"/>
    </xf>
    <xf numFmtId="0" fontId="23" fillId="0" borderId="38" xfId="0" applyFont="1" applyBorder="1" applyNumberFormat="1">
      <alignment vertical="center" wrapText="1"/>
    </xf>
    <xf numFmtId="0" fontId="0" fillId="38" borderId="14" xfId="0" applyFont="1" applyFill="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0" fontId="76" fillId="0" borderId="0" xfId="0" applyFont="1" applyNumberFormat="1">
      <alignment vertical="center" wrapText="1"/>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0" fontId="23" fillId="0" borderId="14" xfId="0" applyFont="1" applyBorder="1" applyNumberFormat="1">
      <alignment vertical="top" wrapText="1"/>
    </xf>
    <xf numFmtId="49" fontId="0" fillId="37" borderId="16" xfId="0" applyFont="1" applyFill="1" applyBorder="1" applyNumberFormat="1">
      <alignment horizontal="center" vertical="center" wrapText="1"/>
    </xf>
    <xf numFmtId="0" fontId="23" fillId="0" borderId="38" xfId="0" applyFont="1" applyBorder="1" applyNumberFormat="1">
      <alignment horizontal="left" vertical="top" wrapText="1"/>
    </xf>
    <xf numFmtId="4" fontId="0" fillId="42" borderId="14" xfId="0" applyFont="1" applyFill="1" applyBorder="1" applyNumberFormat="1">
      <alignment horizontal="right" vertical="center" wrapText="1"/>
      <protection locked="0"/>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23" fillId="0" borderId="0" xfId="0" applyFont="1" applyNumberFormat="1">
      <alignment vertical="top"/>
    </xf>
    <xf numFmtId="49" fontId="23" fillId="0" borderId="21"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5" fillId="0" borderId="0" xfId="0" applyFont="1" applyNumberFormat="1">
      <alignment vertical="center"/>
    </xf>
    <xf numFmtId="49" fontId="23" fillId="0" borderId="0" xfId="0" applyFont="1" applyNumberFormat="1">
      <alignment vertical="top"/>
    </xf>
    <xf numFmtId="49" fontId="0" fillId="42" borderId="14" xfId="0" applyFont="1" applyFill="1" applyBorder="1" applyNumberFormat="1">
      <alignment horizontal="left" vertical="center" wrapText="1" indent="1"/>
      <protection locked="0"/>
    </xf>
    <xf numFmtId="0" fontId="23" fillId="0" borderId="0" xfId="0" applyFont="1" applyNumberFormat="1">
      <alignment vertical="center" wrapText="1"/>
    </xf>
    <xf numFmtId="0" fontId="69" fillId="0" borderId="0" xfId="0" applyFont="1" applyNumberFormat="1">
      <alignment vertical="center" wrapText="1"/>
    </xf>
    <xf numFmtId="0" fontId="23" fillId="37" borderId="14" xfId="0" applyFont="1" applyFill="1" applyBorder="1" applyNumberFormat="1">
      <alignment horizontal="center" vertical="center" wrapText="1"/>
    </xf>
    <xf numFmtId="0" fontId="0" fillId="0" borderId="14" xfId="0" applyFont="1" applyBorder="1" applyNumberFormat="1">
      <alignment horizontal="left" vertical="top"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0" borderId="21" xfId="0" applyFont="1" applyBorder="1" applyNumberFormat="1">
      <alignment vertical="center" wrapText="1"/>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49" fontId="23" fillId="0" borderId="0" xfId="0" applyFont="1" applyNumberFormat="1">
      <alignment vertical="center" wrapText="1"/>
    </xf>
    <xf numFmtId="0" fontId="88"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0" borderId="14" xfId="0" applyFont="1" applyBorder="1" applyNumberFormat="1">
      <alignment horizontal="center" vertical="center" wrapText="1"/>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40" fillId="49" borderId="0" xfId="0" applyFont="1" applyFill="1" applyNumberFormat="1">
      <alignment horizontal="center" vertical="center"/>
    </xf>
    <xf numFmtId="49" fontId="23" fillId="0" borderId="14" xfId="0" applyFont="1" applyBorder="1" applyNumberFormat="1">
      <alignment horizontal="center" vertical="top"/>
    </xf>
    <xf numFmtId="49" fontId="54" fillId="49" borderId="0" xfId="0" applyFont="1" applyFill="1" applyNumberFormat="1">
      <alignment horizontal="center" vertical="center" wrapText="1"/>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23" fillId="0" borderId="16" xfId="0" applyFont="1" applyBorder="1" applyNumberFormat="1">
      <alignment horizontal="left" vertical="center"/>
    </xf>
    <xf numFmtId="49" fontId="23" fillId="0" borderId="46" xfId="0" applyFont="1" applyBorder="1" applyNumberFormat="1">
      <alignment vertical="center"/>
    </xf>
    <xf numFmtId="49" fontId="23" fillId="0" borderId="47" xfId="0" applyFont="1" applyBorder="1" applyNumberFormat="1">
      <alignment vertical="top"/>
    </xf>
    <xf numFmtId="49" fontId="23" fillId="0" borderId="18"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0" fontId="0" fillId="50" borderId="0" xfId="0" applyFont="1" applyFill="1" applyNumberFormat="1">
      <alignment horizontal="right" vertical="center"/>
    </xf>
    <xf numFmtId="49" fontId="40" fillId="0" borderId="0" xfId="0" applyFont="1" applyNumberFormat="1">
      <alignment horizontal="center" vertical="center"/>
    </xf>
    <xf numFmtId="49" fontId="0" fillId="0" borderId="0" xfId="0" applyFont="1" applyNumberFormat="1">
      <alignment vertical="top"/>
    </xf>
    <xf numFmtId="49" fontId="40" fillId="49" borderId="0" xfId="0" applyFont="1" applyFill="1" applyNumberFormat="1">
      <alignment horizontal="center" vertical="center"/>
    </xf>
    <xf numFmtId="0" fontId="23" fillId="0" borderId="0" xfId="0" applyFont="1" applyNumberFormat="1">
      <alignment vertical="center"/>
    </xf>
    <xf numFmtId="0" fontId="0" fillId="50"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6" xfId="0" applyFont="1" applyBorder="1" applyNumberFormat="1">
      <alignment vertical="top"/>
    </xf>
    <xf numFmtId="0" fontId="0" fillId="50" borderId="0" xfId="0" applyFont="1" applyFill="1" applyNumberFormat="1">
      <alignment horizontal="right" vertical="center"/>
    </xf>
    <xf numFmtId="0" fontId="0" fillId="0" borderId="0" xfId="0" applyFont="1" applyNumberFormat="1">
      <alignment horizontal="left" vertical="center"/>
    </xf>
    <xf numFmtId="0" fontId="0" fillId="50" borderId="0" xfId="0" applyFont="1" applyFill="1" applyNumberFormat="1">
      <alignment horizontal="right" vertical="center"/>
    </xf>
    <xf numFmtId="0" fontId="0" fillId="50" borderId="0" xfId="0" applyFont="1" applyFill="1" applyNumberFormat="1">
      <alignment horizontal="left" vertical="center"/>
    </xf>
    <xf numFmtId="0" fontId="59" fillId="50"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9" fillId="0" borderId="0" xfId="0" applyFont="1" applyNumberFormat="1">
      <alignment horizontal="left" vertical="center"/>
    </xf>
    <xf numFmtId="49" fontId="0" fillId="0" borderId="16" xfId="0" applyFont="1" applyBorder="1" applyNumberFormat="1">
      <alignment vertical="top"/>
    </xf>
    <xf numFmtId="49" fontId="23" fillId="0" borderId="14" xfId="0" applyFont="1" applyBorder="1" applyNumberFormat="1">
      <alignment horizontal="right" vertical="top"/>
    </xf>
    <xf numFmtId="0" fontId="0" fillId="0" borderId="16" xfId="0" applyFont="1" applyBorder="1" applyNumberFormat="1">
      <alignment horizontal="left" vertical="center"/>
    </xf>
    <xf numFmtId="0" fontId="59" fillId="50" borderId="0" xfId="0" applyFont="1" applyFill="1" applyNumberFormat="1">
      <alignment horizontal="left" vertical="center"/>
    </xf>
    <xf numFmtId="49" fontId="23" fillId="0" borderId="19" xfId="0" applyFont="1" applyBorder="1" applyNumberFormat="1">
      <alignment horizontal="righ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14" xfId="0" applyFont="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0" fontId="23" fillId="50" borderId="0" xfId="0" applyFont="1" applyFill="1" applyNumberFormat="1">
      <alignment horizontal="left" vertical="center"/>
    </xf>
    <xf numFmtId="0" fontId="0" fillId="50" borderId="12" xfId="0" applyFont="1" applyFill="1" applyBorder="1" applyNumberFormat="1">
      <alignment horizontal="center"/>
    </xf>
    <xf numFmtId="49" fontId="109" fillId="0" borderId="18" xfId="0" applyFont="1" applyBorder="1" applyNumberFormat="1">
      <alignment vertical="top"/>
    </xf>
    <xf numFmtId="49" fontId="0" fillId="0" borderId="0" xfId="0" applyFont="1" applyNumberFormat="1">
      <alignment vertical="center"/>
    </xf>
    <xf numFmtId="49" fontId="53" fillId="56" borderId="0" xfId="0" applyFont="1" applyFill="1" applyNumberFormat="1">
      <alignment vertical="center" wrapText="1"/>
    </xf>
    <xf numFmtId="0" fontId="0" fillId="0" borderId="12" xfId="0" applyFont="1" applyBorder="1" applyNumberFormat="1">
      <alignment horizontal="center"/>
    </xf>
    <xf numFmtId="49" fontId="23" fillId="50" borderId="0" xfId="0" applyFont="1" applyFill="1" applyNumberFormat="1">
      <alignment horizontal="center" vertical="center"/>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0" fontId="0" fillId="34" borderId="14" xfId="0" applyFont="1" applyFill="1" applyBorder="1" applyNumberFormat="1">
      <alignment horizontal="right" vertical="center"/>
    </xf>
    <xf numFmtId="49" fontId="23" fillId="34" borderId="25" xfId="0" applyFont="1" applyFill="1" applyBorder="1" applyNumberFormat="1">
      <alignment vertical="top"/>
    </xf>
    <xf numFmtId="49" fontId="23" fillId="34" borderId="14" xfId="0" applyFont="1" applyFill="1" applyBorder="1" applyNumberFormat="1">
      <alignment vertical="top"/>
    </xf>
    <xf numFmtId="49" fontId="23" fillId="0" borderId="16" xfId="0" applyFont="1" applyBorder="1" applyNumberFormat="1">
      <alignment horizontal="center" vertical="top"/>
    </xf>
    <xf numFmtId="49" fontId="23" fillId="0" borderId="15" xfId="0" applyFont="1" applyBorder="1" applyNumberFormat="1">
      <alignment horizontal="center" vertical="top"/>
    </xf>
    <xf numFmtId="0" fontId="23" fillId="38" borderId="32" xfId="0" applyFont="1" applyFill="1" applyBorder="1" applyNumberFormat="1">
      <alignment horizontal="center" vertical="top"/>
    </xf>
    <xf numFmtId="0" fontId="23" fillId="38" borderId="32" xfId="0" applyFont="1" applyFill="1" applyBorder="1" applyNumberFormat="1">
      <alignment horizontal="left" vertical="top"/>
    </xf>
    <xf numFmtId="0" fontId="0" fillId="0" borderId="34" xfId="0" applyFont="1" applyBorder="1" applyNumberFormat="1">
      <alignment horizontal="center" vertical="center"/>
    </xf>
    <xf numFmtId="0" fontId="0" fillId="0" borderId="36" xfId="0" applyFont="1" applyBorder="1" applyNumberFormat="1">
      <alignment horizontal="center" vertical="center"/>
    </xf>
    <xf numFmtId="0" fontId="23" fillId="0" borderId="14" xfId="0" applyFont="1" applyBorder="1" applyNumberFormat="1">
      <alignment horizontal="left" vertical="top"/>
    </xf>
    <xf numFmtId="49" fontId="23" fillId="0" borderId="0" xfId="0" applyFont="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49" fontId="40" fillId="49" borderId="16" xfId="0" applyFont="1" applyFill="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50"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0" fontId="23" fillId="42" borderId="14" xfId="0" applyFont="1" applyFill="1" applyBorder="1" applyNumberFormat="1">
      <alignment horizontal="center" vertical="center" wrapText="1"/>
      <protection locked="0"/>
    </xf>
    <xf numFmtId="0" fontId="54" fillId="37" borderId="0" xfId="0" applyFont="1" applyFill="1" applyNumberFormat="1"/>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8" borderId="14" xfId="0" applyFont="1" applyFill="1" applyBorder="1" applyNumberFormat="1">
      <alignment horizontal="left" vertical="center" wrapText="1"/>
    </xf>
    <xf numFmtId="0" fontId="73" fillId="37" borderId="0" xfId="0" applyFont="1" applyFill="1" applyNumberFormat="1"/>
    <xf numFmtId="0" fontId="23" fillId="37" borderId="14" xfId="0" applyFont="1" applyFill="1" applyBorder="1" applyNumberFormat="1">
      <alignment horizontal="left"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0" fontId="55"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0" fillId="37" borderId="19" xfId="0" applyFont="1" applyFill="1" applyBorder="1" applyNumberFormat="1">
      <alignment horizontal="left" vertical="top" wrapText="1"/>
    </xf>
    <xf numFmtId="0" fontId="72" fillId="37" borderId="0" xfId="0" applyFont="1" applyFill="1" applyNumberFormat="1"/>
    <xf numFmtId="0" fontId="77" fillId="37" borderId="0" xfId="0" applyFont="1" applyFill="1" applyNumberFormat="1">
      <alignment vertical="center" wrapText="1"/>
    </xf>
    <xf numFmtId="0" fontId="55" fillId="37" borderId="14" xfId="0" applyFont="1" applyFill="1" applyBorder="1" applyNumberFormat="1">
      <alignment horizontal="center" vertical="center"/>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0" fontId="89" fillId="37" borderId="0" xfId="0" applyFont="1" applyFill="1" applyNumberFormat="1"/>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0" fontId="23" fillId="37" borderId="14" xfId="0" applyFont="1" applyFill="1" applyBorder="1" applyNumberFormat="1">
      <alignmen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14" fontId="23" fillId="42" borderId="14" xfId="0" applyFont="1" applyFill="1" applyBorder="1" applyNumberFormat="1">
      <alignment horizontal="left" vertical="center" wrapText="1" indent="1"/>
      <protection locked="0"/>
    </xf>
    <xf numFmtId="0" fontId="117" fillId="0" borderId="0" xfId="0" applyFont="1" applyNumberFormat="1">
      <alignment vertical="center"/>
    </xf>
    <xf numFmtId="0" fontId="45" fillId="0" borderId="0" xfId="0" applyFont="1" applyNumberFormat="1">
      <alignment horizontal="center" vertical="center" wrapText="1"/>
    </xf>
    <xf numFmtId="4" fontId="23" fillId="0" borderId="19" xfId="0" applyFont="1" applyBorder="1" applyNumberFormat="1">
      <alignment horizontal="center" vertical="center" wrapText="1"/>
    </xf>
    <xf numFmtId="165" fontId="23" fillId="0" borderId="39" xfId="0" applyFont="1" applyBorder="1" applyNumberFormat="1">
      <alignment horizontal="center" vertical="center" wrapText="1"/>
    </xf>
    <xf numFmtId="165"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14" fontId="23" fillId="43" borderId="14" xfId="0" applyFont="1" applyFill="1" applyBorder="1" applyNumberFormat="1">
      <alignment horizontal="left"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31" xfId="0" applyFont="1" applyFill="1" applyBorder="1" applyNumberFormat="1">
      <alignment horizontal="right" vertical="center" wrapText="1"/>
    </xf>
    <xf numFmtId="0" fontId="117" fillId="0" borderId="0" xfId="0" applyFont="1" applyNumberFormat="1">
      <alignment vertical="center" wrapText="1"/>
    </xf>
    <xf numFmtId="49" fontId="0" fillId="0" borderId="0" xfId="0" applyFont="1" applyNumberFormat="1">
      <alignment vertical="top"/>
    </xf>
    <xf numFmtId="0" fontId="55" fillId="0" borderId="0" xfId="0" applyFont="1" applyNumberFormat="1">
      <alignment vertical="center"/>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38" borderId="14" xfId="0" applyFont="1" applyFill="1" applyBorder="1" applyNumberFormat="1">
      <alignment horizontal="left" vertical="center" wrapText="1" indent="1"/>
    </xf>
    <xf numFmtId="167" fontId="0" fillId="42" borderId="17" xfId="0" applyFont="1" applyFill="1" applyBorder="1" applyNumberFormat="1">
      <alignment horizontal="left" vertical="center" wrapText="1" indent="1"/>
      <protection locked="0"/>
    </xf>
    <xf numFmtId="168" fontId="23" fillId="42" borderId="14" xfId="0" applyFont="1" applyFill="1" applyBorder="1" applyNumberFormat="1">
      <alignment horizontal="left" vertical="center" wrapText="1" indent="1"/>
      <protection locked="0"/>
    </xf>
    <xf numFmtId="167" fontId="55" fillId="0" borderId="0" xfId="0" applyFont="1" applyNumberFormat="1">
      <alignment horizontal="center" vertical="center" wrapText="1"/>
    </xf>
    <xf numFmtId="165" fontId="23" fillId="0" borderId="19"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 fontId="23" fillId="0" borderId="38"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25"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25" xfId="0" applyFont="1" applyFill="1" applyBorder="1" applyNumberFormat="1">
      <alignment horizontal="left" vertical="center" wrapText="1" indent="1"/>
    </xf>
    <xf numFmtId="14" fontId="23" fillId="42" borderId="25" xfId="0" applyFont="1" applyFill="1" applyBorder="1" applyNumberFormat="1">
      <alignment horizontal="left" vertical="center" wrapText="1" indent="1"/>
      <protection locked="0"/>
    </xf>
    <xf numFmtId="0" fontId="23" fillId="0" borderId="31" xfId="0" applyFont="1" applyBorder="1" applyNumberFormat="1">
      <alignment horizontal="left" vertical="top" wrapText="1"/>
    </xf>
    <xf numFmtId="49" fontId="0" fillId="0" borderId="0" xfId="0" applyFont="1" applyNumberFormat="1">
      <alignment vertical="top"/>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5" fontId="23" fillId="0" borderId="25" xfId="0" applyFont="1" applyBorder="1" applyNumberFormat="1">
      <alignment horizontal="center" vertical="center" wrapText="1"/>
    </xf>
    <xf numFmtId="0" fontId="23" fillId="0" borderId="25" xfId="0" applyFont="1" applyBorder="1" applyNumberFormat="1">
      <alignment horizontal="left" vertical="center" wrapText="1" indent="1"/>
    </xf>
    <xf numFmtId="14" fontId="23" fillId="0" borderId="25" xfId="0" applyFont="1" applyBorder="1" applyNumberFormat="1">
      <alignment horizontal="left" vertical="center" wrapText="1" indent="1"/>
    </xf>
    <xf numFmtId="0" fontId="45" fillId="0" borderId="0" xfId="0" applyFont="1" applyNumberFormat="1">
      <alignment horizontal="center" vertical="center" wrapText="1"/>
    </xf>
    <xf numFmtId="0" fontId="55" fillId="0" borderId="0" xfId="0" applyFont="1" applyNumberFormat="1">
      <alignment vertical="center"/>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34" fillId="40" borderId="29" xfId="0" applyFont="1" applyFill="1" applyBorder="1" applyNumberFormat="1">
      <alignment horizontal="left" vertical="center" wrapText="1"/>
    </xf>
    <xf numFmtId="49" fontId="34" fillId="40" borderId="31" xfId="0" applyFont="1" applyFill="1" applyBorder="1" applyNumberFormat="1">
      <alignment horizontal="left" vertical="center" wrapText="1"/>
    </xf>
    <xf numFmtId="0" fontId="23" fillId="37" borderId="38" xfId="0" applyFont="1" applyFill="1" applyBorder="1" applyNumberFormat="1">
      <alignment vertical="center" wrapText="1"/>
    </xf>
    <xf numFmtId="0" fontId="55" fillId="0" borderId="0" xfId="0" applyFont="1" applyNumberFormat="1">
      <alignment horizontal="center"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14"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7" xfId="0" applyFont="1" applyBorder="1" applyNumberFormat="1">
      <alignment horizontal="left" vertical="center" wrapText="1"/>
    </xf>
    <xf numFmtId="0" fontId="50" fillId="0" borderId="0" xfId="0" applyFont="1" applyNumberFormat="1">
      <alignment horizontal="center" vertical="center" wrapText="1"/>
    </xf>
    <xf numFmtId="0" fontId="23" fillId="0" borderId="0" xfId="0" applyFont="1" applyNumberFormat="1">
      <alignment horizontal="center" vertical="center" wrapText="1"/>
    </xf>
    <xf numFmtId="165" fontId="53" fillId="0" borderId="21" xfId="0" applyFont="1" applyBorder="1" applyNumberFormat="1">
      <alignment horizontal="center"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0" fontId="55" fillId="0" borderId="0" xfId="0" applyFont="1" applyNumberFormat="1">
      <alignment horizontal="center" vertical="center"/>
    </xf>
    <xf numFmtId="165" fontId="23" fillId="0" borderId="14" xfId="0" applyFont="1" applyBorder="1" applyNumberFormat="1">
      <alignment horizontal="center"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43" borderId="32" xfId="0" applyFont="1" applyFill="1" applyBorder="1" applyNumberFormat="1">
      <alignment horizontal="left" vertical="center" wrapText="1"/>
    </xf>
    <xf numFmtId="0" fontId="23" fillId="0" borderId="25" xfId="0" applyFont="1" applyBorder="1" applyNumberFormat="1">
      <alignment horizontal="center" vertical="center" wrapText="1"/>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23" fillId="0" borderId="14" xfId="0" applyFont="1" applyBorder="1" applyNumberFormat="1">
      <alignment horizontal="left" vertical="top" wrapText="1"/>
    </xf>
    <xf numFmtId="49" fontId="23" fillId="43" borderId="25" xfId="0" applyFont="1" applyFill="1" applyBorder="1" applyNumberFormat="1">
      <alignment horizontal="left" vertical="center" wrapText="1"/>
    </xf>
    <xf numFmtId="49" fontId="129" fillId="0" borderId="14" xfId="0" applyFont="1" applyBorder="1" applyNumberFormat="1">
      <alignment horizontal="left" vertical="top"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37" borderId="0" xfId="0" applyFont="1" applyFill="1" applyNumberFormat="1"/>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0" fontId="51" fillId="37" borderId="0" xfId="0" applyFont="1" applyFill="1" applyNumberFormat="1">
      <alignment horizontal="center" vertical="center" wrapText="1"/>
    </xf>
    <xf numFmtId="0" fontId="40" fillId="37" borderId="0" xfId="0" applyFont="1" applyFill="1" applyNumberFormat="1"/>
    <xf numFmtId="0" fontId="23" fillId="37" borderId="14" xfId="0" applyFont="1" applyFill="1" applyBorder="1" applyNumberFormat="1">
      <alignment horizontal="center" vertical="center" wrapTex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8" fillId="40" borderId="17" xfId="0" applyFont="1" applyFill="1" applyBorder="1" applyNumberFormat="1">
      <alignment horizontal="left" vertical="center"/>
    </xf>
    <xf numFmtId="49" fontId="52" fillId="40" borderId="17"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5" fillId="0" borderId="0" xfId="0" applyFont="1" applyNumberFormat="1">
      <alignment horizontal="center" vertical="center"/>
    </xf>
    <xf numFmtId="49" fontId="23" fillId="0" borderId="0" xfId="0" applyFont="1" applyNumberFormat="1">
      <alignment vertical="top"/>
    </xf>
    <xf numFmtId="0" fontId="45" fillId="37" borderId="0" xfId="0" applyFont="1" applyFill="1" applyNumberFormat="1">
      <alignment horizontal="center" vertical="center"/>
    </xf>
    <xf numFmtId="0" fontId="23" fillId="37" borderId="0" xfId="0" applyFont="1" applyFill="1" applyNumberFormat="1"/>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0" fontId="69" fillId="0" borderId="0" xfId="0" applyFont="1" applyNumberFormat="1"/>
    <xf numFmtId="0" fontId="23" fillId="0" borderId="14" xfId="0" applyFont="1" applyBorder="1" applyNumberFormat="1">
      <alignment horizontal="center" vertical="center" wrapText="1"/>
    </xf>
    <xf numFmtId="0" fontId="23" fillId="37" borderId="19" xfId="0" applyFont="1" applyFill="1" applyBorder="1" applyNumberFormat="1">
      <alignment horizontal="center" vertical="center"/>
    </xf>
    <xf numFmtId="49" fontId="23" fillId="0" borderId="19" xfId="0" applyFont="1" applyBorder="1" applyNumberFormat="1">
      <alignment horizontal="left"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49" fontId="53" fillId="0" borderId="0" xfId="0" applyFont="1" applyNumberFormat="1">
      <alignment horizontal="right" vertical="top"/>
    </xf>
    <xf numFmtId="49" fontId="23" fillId="0" borderId="0" xfId="0" applyFont="1" applyNumberFormat="1">
      <alignment horizontal="left" vertical="top" wrapText="1"/>
    </xf>
    <xf numFmtId="49" fontId="53" fillId="0" borderId="0" xfId="0" applyFont="1" applyNumberFormat="1">
      <alignment vertical="top"/>
    </xf>
    <xf numFmtId="0" fontId="23" fillId="0" borderId="0" xfId="0" applyFont="1" applyNumberFormat="1"/>
    <xf numFmtId="0" fontId="45" fillId="0" borderId="0" xfId="0" applyFont="1" applyNumberFormat="1">
      <alignment horizontal="center" vertical="center"/>
    </xf>
    <xf numFmtId="0" fontId="23" fillId="0" borderId="0" xfId="0" applyFont="1" applyNumberFormat="1"/>
    <xf numFmtId="49" fontId="23" fillId="0" borderId="14" xfId="0" applyFont="1" applyBorder="1" applyNumberFormat="1">
      <alignment horizontal="left" vertical="center" wrapText="1"/>
    </xf>
    <xf numFmtId="49" fontId="48" fillId="40" borderId="15" xfId="0" applyFont="1" applyFill="1" applyBorder="1" applyNumberFormat="1">
      <alignment horizontal="left" vertical="center"/>
    </xf>
    <xf numFmtId="49" fontId="0" fillId="0" borderId="17" xfId="0" applyFont="1" applyBorder="1" applyNumberFormat="1">
      <alignment horizontal="left" vertical="center" indent="1"/>
    </xf>
    <xf numFmtId="49" fontId="70" fillId="0" borderId="0" xfId="0" applyFont="1" applyNumberFormat="1">
      <alignment vertical="top"/>
    </xf>
    <xf numFmtId="49" fontId="0" fillId="0" borderId="27" xfId="0" applyFont="1" applyBorder="1" applyNumberFormat="1">
      <alignment horizontal="center" vertical="center"/>
    </xf>
    <xf numFmtId="49" fontId="0" fillId="0" borderId="0" xfId="0" applyFont="1" applyNumberFormat="1">
      <alignment vertical="top"/>
    </xf>
    <xf numFmtId="49" fontId="0" fillId="41" borderId="0" xfId="0" applyFont="1" applyFill="1" applyNumberFormat="1">
      <alignment vertical="top"/>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49" fontId="23" fillId="39" borderId="14" xfId="0" applyFont="1" applyFill="1" applyBorder="1" applyNumberFormat="1">
      <alignment horizontal="left" vertical="center" wrapText="1"/>
      <protection locked="0"/>
    </xf>
    <xf numFmtId="0" fontId="50" fillId="0" borderId="0" xfId="0" applyFont="1" applyNumberFormat="1">
      <alignment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14" fontId="23" fillId="43" borderId="14" xfId="0" applyFont="1" applyFill="1" applyBorder="1" applyNumberFormat="1">
      <alignment horizontal="left" vertical="center" wrapText="1" indent="1"/>
    </xf>
    <xf numFmtId="49" fontId="23" fillId="38" borderId="14" xfId="0" applyFont="1" applyFill="1" applyBorder="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0" fillId="0" borderId="0" xfId="0" applyFont="1" applyNumberFormat="1">
      <alignment vertical="center"/>
    </xf>
    <xf numFmtId="0" fontId="44" fillId="0" borderId="26" xfId="0" applyFont="1" applyBorder="1" applyNumberFormat="1">
      <alignment horizontal="center" vertical="center" wrapText="1"/>
    </xf>
    <xf numFmtId="14" fontId="86" fillId="0" borderId="19" xfId="0" applyFont="1" applyBorder="1" applyNumberFormat="1">
      <alignment horizontal="center" vertical="center" wrapText="1"/>
    </xf>
    <xf numFmtId="0" fontId="80" fillId="0" borderId="14" xfId="0" applyFont="1" applyBorder="1" applyNumberFormat="1">
      <alignment horizontal="left" vertical="center" wrapText="1" indent="1"/>
    </xf>
    <xf numFmtId="0" fontId="86"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0" fontId="79" fillId="0" borderId="0" xfId="0" applyFont="1" applyNumberFormat="1">
      <alignment vertical="center"/>
    </xf>
    <xf numFmtId="14" fontId="86" fillId="0" borderId="38" xfId="0" applyFont="1" applyBorder="1" applyNumberFormat="1">
      <alignment horizontal="center" vertical="center" wrapText="1"/>
    </xf>
    <xf numFmtId="0" fontId="80" fillId="0" borderId="14" xfId="0" applyFont="1" applyBorder="1" applyNumberFormat="1">
      <alignment horizontal="left" vertical="top" indent="1"/>
    </xf>
    <xf numFmtId="49" fontId="0" fillId="0" borderId="14" xfId="0" applyFont="1" applyBorder="1" applyNumberFormat="1">
      <alignment vertical="top"/>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44" fillId="0" borderId="14" xfId="0" applyFont="1" applyBorder="1" applyNumberFormat="1">
      <alignment horizontal="center" vertical="center" wrapText="1"/>
    </xf>
    <xf numFmtId="49" fontId="23" fillId="0" borderId="15"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3" borderId="16" xfId="0" applyFont="1" applyFill="1" applyBorder="1" applyNumberFormat="1">
      <alignment horizontal="left" vertical="center" wrapText="1"/>
    </xf>
    <xf numFmtId="49" fontId="0" fillId="0" borderId="14" xfId="0" applyFont="1" applyBorder="1" applyNumberFormat="1">
      <alignment vertical="top"/>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0" fillId="0" borderId="0" xfId="0" applyFont="1" applyNumberFormat="1">
      <alignment vertical="top"/>
    </xf>
    <xf numFmtId="49" fontId="23" fillId="0" borderId="0" xfId="0" applyFont="1" applyNumberFormat="1">
      <alignment vertical="top"/>
    </xf>
    <xf numFmtId="0" fontId="45" fillId="37" borderId="0" xfId="0" applyFont="1" applyFill="1" applyNumberFormat="1">
      <alignment vertical="top" wrapText="1"/>
    </xf>
    <xf numFmtId="0" fontId="23" fillId="37" borderId="16" xfId="0" applyFont="1" applyFill="1" applyBorder="1" applyNumberFormat="1">
      <alignment horizontal="center" vertical="center" wrapText="1"/>
    </xf>
    <xf numFmtId="0" fontId="55" fillId="37" borderId="14" xfId="0" applyFont="1" applyFill="1" applyBorder="1" applyNumberFormat="1">
      <alignment horizontal="center" vertical="center" wrapText="1"/>
    </xf>
    <xf numFmtId="14" fontId="23" fillId="43" borderId="31" xfId="0" applyFont="1" applyFill="1" applyBorder="1" applyNumberFormat="1">
      <alignment horizontal="left" vertical="center" wrapText="1"/>
    </xf>
    <xf numFmtId="49" fontId="127" fillId="42" borderId="14" xfId="0" applyFont="1" applyFill="1" applyBorder="1" applyNumberFormat="1">
      <alignment horizontal="left" vertical="center" wrapText="1"/>
      <protection locked="0"/>
    </xf>
    <xf numFmtId="49" fontId="0" fillId="0" borderId="14" xfId="0" applyFont="1" applyBorder="1" applyNumberFormat="1">
      <alignment horizontal="center" vertical="center" wrapText="1"/>
    </xf>
    <xf numFmtId="0" fontId="23" fillId="43" borderId="16" xfId="0" applyFont="1" applyFill="1" applyBorder="1" applyNumberFormat="1">
      <alignment horizontal="left" vertical="center" wrapText="1"/>
    </xf>
    <xf numFmtId="0" fontId="0" fillId="0" borderId="25" xfId="0" applyFont="1" applyBorder="1" applyNumberFormat="1">
      <alignment horizontal="center" vertical="center" wrapText="1"/>
    </xf>
    <xf numFmtId="49" fontId="23" fillId="0" borderId="0" xfId="0" applyFont="1" applyNumberFormat="1">
      <alignment vertical="top"/>
    </xf>
    <xf numFmtId="49" fontId="4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49"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45" fillId="0" borderId="26" xfId="0" applyFont="1" applyBorder="1" applyNumberFormat="1">
      <alignment horizontal="center" vertical="center" wrapTex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2" borderId="14" xfId="0" applyFont="1" applyFill="1" applyBorder="1" applyNumberFormat="1">
      <alignment horizontal="left" vertical="top" wrapText="1"/>
      <protection locked="0"/>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0" fontId="23" fillId="39" borderId="14" xfId="0" applyFont="1" applyFill="1" applyBorder="1" applyNumberFormat="1">
      <alignment horizontal="left" vertical="top" wrapText="1"/>
      <protection locked="0"/>
    </xf>
    <xf numFmtId="49" fontId="23" fillId="43" borderId="14" xfId="0" applyFont="1" applyFill="1" applyBorder="1" applyNumberFormat="1">
      <alignment horizontal="center" vertical="top" wrapText="1"/>
    </xf>
    <xf numFmtId="0" fontId="23" fillId="0" borderId="38" xfId="0" applyFont="1" applyBorder="1" applyNumberFormat="1">
      <alignment horizontal="center" vertical="center" wrapText="1"/>
    </xf>
    <xf numFmtId="0" fontId="23"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1"/>
      <protection locked="0"/>
    </xf>
    <xf numFmtId="0" fontId="23" fillId="0" borderId="26" xfId="0" applyFont="1" applyBorder="1" applyNumberFormat="1">
      <alignment vertical="top" wrapText="1"/>
    </xf>
    <xf numFmtId="49" fontId="23" fillId="43" borderId="25" xfId="0" applyFont="1" applyFill="1" applyBorder="1" applyNumberFormat="1">
      <alignment horizontal="center" vertical="top" wrapText="1"/>
    </xf>
    <xf numFmtId="49" fontId="0" fillId="42"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6" xfId="0" applyFont="1" applyFill="1" applyBorder="1" applyNumberFormat="1">
      <alignment horizontal="center" vertical="top" wrapText="1"/>
    </xf>
    <xf numFmtId="49" fontId="23" fillId="0" borderId="38" xfId="0" applyFont="1" applyBorder="1" applyNumberFormat="1">
      <alignment horizontal="center" vertical="top" wrapText="1"/>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0" borderId="40" xfId="0" applyFont="1" applyBorder="1" applyNumberFormat="1">
      <alignment vertical="center" wrapText="1"/>
    </xf>
    <xf numFmtId="49" fontId="23" fillId="38" borderId="14" xfId="0" applyFont="1" applyFill="1" applyBorder="1" applyNumberFormat="1">
      <alignment horizontal="center" vertical="center" wrapText="1"/>
    </xf>
    <xf numFmtId="49" fontId="23" fillId="0" borderId="15" xfId="0" applyFont="1" applyBorder="1" applyNumberFormat="1">
      <alignment horizontal="center" vertical="center" wrapText="1"/>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23" fillId="43" borderId="16" xfId="0" applyFont="1" applyFill="1" applyBorder="1" applyNumberFormat="1">
      <alignment horizontal="center" vertical="center" wrapText="1"/>
    </xf>
    <xf numFmtId="49" fontId="110" fillId="40" borderId="45" xfId="0" applyFont="1" applyFill="1" applyBorder="1" applyNumberFormat="1">
      <alignment horizontal="left" vertical="center" indent="1"/>
    </xf>
    <xf numFmtId="49" fontId="99" fillId="40" borderId="45" xfId="0" applyFont="1" applyFill="1" applyBorder="1" applyNumberFormat="1">
      <alignment horizontal="center" vertical="center"/>
    </xf>
    <xf numFmtId="3" fontId="23" fillId="42" borderId="14" xfId="0" applyFont="1" applyFill="1" applyBorder="1" applyNumberFormat="1">
      <alignment horizontal="center" vertical="center" wrapText="1"/>
      <protection locked="0"/>
    </xf>
    <xf numFmtId="49" fontId="128" fillId="0" borderId="15" xfId="0" applyFont="1" applyBorder="1" applyNumberFormat="1">
      <alignment horizontal="center" vertical="center" wrapText="1"/>
    </xf>
    <xf numFmtId="0" fontId="53" fillId="0" borderId="14" xfId="0" applyFont="1" applyBorder="1" applyNumberFormat="1">
      <alignment horizontal="center" vertical="center"/>
    </xf>
    <xf numFmtId="49" fontId="23" fillId="43" borderId="19"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23" fillId="43" borderId="38" xfId="0" applyFont="1" applyFill="1" applyBorder="1" applyNumberFormat="1">
      <alignment horizontal="left" vertical="center" wrapText="1" indent="1"/>
    </xf>
    <xf numFmtId="49" fontId="23" fillId="38" borderId="14" xfId="0" applyFont="1" applyFill="1" applyBorder="1" applyNumberFormat="1">
      <alignment horizontal="left" vertical="center" wrapText="1"/>
    </xf>
    <xf numFmtId="49" fontId="128" fillId="0" borderId="0" xfId="0" applyFont="1" applyNumberFormat="1">
      <alignment horizontal="center" vertical="top" wrapText="1"/>
    </xf>
    <xf numFmtId="0" fontId="53" fillId="0" borderId="14" xfId="0" applyFont="1" applyBorder="1" applyNumberFormat="1">
      <alignment horizontal="center" vertical="center"/>
    </xf>
    <xf numFmtId="0" fontId="53" fillId="43" borderId="14" xfId="0" applyFont="1" applyFill="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43" borderId="25" xfId="0" applyFont="1" applyFill="1" applyBorder="1" applyNumberFormat="1">
      <alignment horizontal="left" vertical="center" wrapText="1" indent="1"/>
    </xf>
    <xf numFmtId="49" fontId="48" fillId="40" borderId="17" xfId="0" applyFont="1" applyFill="1" applyBorder="1" applyNumberFormat="1">
      <alignment horizontal="left" vertical="center" inden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49" fontId="23" fillId="38" borderId="77" xfId="0" applyFont="1" applyFill="1" applyBorder="1" applyNumberFormat="1">
      <alignment horizontal="center" vertical="center" wrapText="1"/>
    </xf>
    <xf numFmtId="0" fontId="0" fillId="40" borderId="52" xfId="0" applyFont="1" applyFill="1" applyBorder="1" applyNumberFormat="1">
      <alignment horizontal="left" vertical="center"/>
    </xf>
    <xf numFmtId="49" fontId="48" fillId="40" borderId="53" xfId="0" applyFont="1" applyFill="1" applyBorder="1" applyNumberFormat="1">
      <alignment horizontal="left" vertical="center" inden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0" fontId="23" fillId="40" borderId="55" xfId="0" applyFont="1" applyFill="1" applyBorder="1" applyNumberFormat="1">
      <alignment vertical="center" wrapText="1"/>
    </xf>
    <xf numFmtId="49" fontId="0" fillId="38" borderId="38" xfId="0" applyFont="1" applyFill="1" applyBorder="1" applyNumberFormat="1">
      <alignment vertical="top"/>
    </xf>
    <xf numFmtId="49" fontId="23" fillId="43" borderId="19" xfId="0" applyFont="1" applyFill="1" applyBorder="1" applyNumberFormat="1">
      <alignment vertical="center" wrapText="1"/>
    </xf>
    <xf numFmtId="49" fontId="0" fillId="42" borderId="38" xfId="0" applyFont="1" applyFill="1" applyBorder="1" applyNumberFormat="1">
      <alignment vertical="top"/>
      <protection locked="0"/>
    </xf>
    <xf numFmtId="49" fontId="128" fillId="0" borderId="14" xfId="0" applyFont="1" applyBorder="1" applyNumberFormat="1">
      <alignment horizontal="center" vertical="center" wrapText="1"/>
    </xf>
    <xf numFmtId="49" fontId="0" fillId="42" borderId="19" xfId="0" applyFont="1" applyFill="1" applyBorder="1" applyNumberFormat="1">
      <alignment vertical="top"/>
      <protection locked="0"/>
    </xf>
    <xf numFmtId="14" fontId="23" fillId="43" borderId="38" xfId="0" applyFont="1" applyFill="1" applyBorder="1" applyNumberFormat="1">
      <alignment horizontal="left" vertical="center" wrapText="1" inden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0" fontId="53" fillId="0" borderId="15" xfId="0" applyFont="1" applyBorder="1" applyNumberFormat="1">
      <alignment horizontal="center" vertical="center"/>
    </xf>
    <xf numFmtId="0" fontId="108" fillId="0" borderId="49" xfId="0" applyFont="1" applyBorder="1" applyNumberFormat="1">
      <alignment horizontal="left" vertical="center" indent="1"/>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49" fontId="0" fillId="0" borderId="0" xfId="0" applyFont="1" applyNumberFormat="1">
      <alignment vertical="top"/>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39" borderId="14" xfId="0" applyFont="1" applyFill="1" applyBorder="1" applyNumberFormat="1">
      <alignment horizontal="left" vertical="center"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48" fillId="0" borderId="14" xfId="0" applyFont="1" applyBorder="1" applyNumberFormat="1">
      <alignment horizontal="left" vertical="center" indent="1"/>
    </xf>
    <xf numFmtId="0" fontId="54" fillId="0" borderId="0" xfId="0" applyFont="1" applyNumberFormat="1">
      <alignment horizontal="center" vertical="top"/>
    </xf>
    <xf numFmtId="49" fontId="23" fillId="0" borderId="25" xfId="0" applyFont="1" applyBorder="1" applyNumberFormat="1">
      <alignment horizontal="center" vertical="center" wrapText="1"/>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49" fontId="55" fillId="0" borderId="15" xfId="0" applyFont="1" applyBorder="1" applyNumberFormat="1">
      <alignment horizontal="left" vertical="center" indent="1"/>
    </xf>
    <xf numFmtId="0" fontId="55" fillId="0" borderId="14" xfId="0" applyFont="1" applyBorder="1" applyNumberFormat="1">
      <alignment horizontal="left" vertical="center" indent="1"/>
    </xf>
    <xf numFmtId="49" fontId="0" fillId="0" borderId="21" xfId="0" applyFont="1" applyBorder="1" applyNumberFormat="1">
      <alignment vertical="top"/>
    </xf>
    <xf numFmtId="49" fontId="45" fillId="0" borderId="19"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0" fillId="0" borderId="15" xfId="0" applyFont="1" applyBorder="1" applyNumberFormat="1">
      <alignment horizontal="center" vertical="center" wrapText="1"/>
    </xf>
    <xf numFmtId="0" fontId="0" fillId="0" borderId="14" xfId="0" applyFont="1" applyBorder="1" applyNumberFormat="1">
      <alignment horizontal="left" vertical="center" wrapText="1"/>
    </xf>
    <xf numFmtId="49" fontId="0" fillId="0" borderId="14" xfId="0" applyFont="1" applyBorder="1" applyNumberFormat="1">
      <alignment horizontal="center" vertical="center"/>
    </xf>
    <xf numFmtId="0" fontId="0" fillId="0" borderId="14" xfId="0" applyFont="1" applyBorder="1" applyNumberFormat="1">
      <alignment horizontal="center" vertical="center" wrapText="1"/>
    </xf>
    <xf numFmtId="4" fontId="0" fillId="38" borderId="14" xfId="0" applyFont="1" applyFill="1" applyBorder="1" applyNumberFormat="1">
      <alignment horizontal="right" vertical="center" wrapText="1"/>
    </xf>
    <xf numFmtId="49" fontId="23" fillId="0" borderId="38" xfId="0" applyFont="1" applyBorder="1" applyNumberFormat="1">
      <alignment horizontal="center" vertical="top"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2" borderId="14" xfId="0" applyFont="1" applyFill="1" applyBorder="1" applyNumberFormat="1">
      <alignment horizontal="left" vertical="center" wrapText="1"/>
      <protection locked="0"/>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23" fillId="0" borderId="25" xfId="0" applyFont="1" applyBorder="1" applyNumberFormat="1">
      <alignment horizontal="center" vertical="top" wrapText="1"/>
    </xf>
    <xf numFmtId="49" fontId="23" fillId="42" borderId="14" xfId="0" applyFont="1" applyFill="1" applyBorder="1" applyNumberFormat="1">
      <alignment horizontal="left" vertical="center" wrapText="1" indent="1"/>
      <protection locked="0"/>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0" fontId="23" fillId="43" borderId="14" xfId="0" applyFont="1" applyFill="1" applyBorder="1" applyNumberFormat="1">
      <alignment horizontal="left" vertical="top" wrapText="1"/>
    </xf>
    <xf numFmtId="49" fontId="23"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49" fontId="0" fillId="0" borderId="14" xfId="0" applyFont="1" applyBorder="1" applyNumberFormat="1">
      <alignment horizontal="left" vertical="top"/>
    </xf>
    <xf numFmtId="49" fontId="0" fillId="43" borderId="14"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23" fillId="43" borderId="0" xfId="0" applyFont="1" applyFill="1" applyNumberFormat="1">
      <alignment horizontal="center" vertical="center" wrapText="1"/>
    </xf>
    <xf numFmtId="0" fontId="48" fillId="0" borderId="38" xfId="0" applyFont="1" applyBorder="1" applyNumberFormat="1">
      <alignment horizontal="left" vertical="center"/>
    </xf>
    <xf numFmtId="49" fontId="0" fillId="43" borderId="38" xfId="0" applyFont="1" applyFill="1" applyBorder="1" applyNumberFormat="1">
      <alignment horizontal="left" vertical="center" wrapText="1"/>
      <protection locked="0"/>
    </xf>
    <xf numFmtId="49" fontId="23" fillId="43" borderId="38" xfId="0" applyFont="1" applyFill="1" applyBorder="1" applyNumberFormat="1">
      <alignment horizontal="center" vertical="center" wrapText="1"/>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49" fontId="0" fillId="0" borderId="0" xfId="0" applyFont="1" applyNumberFormat="1">
      <alignment vertical="top"/>
    </xf>
    <xf numFmtId="0" fontId="0" fillId="0" borderId="0" xfId="0" applyFont="1" applyNumberFormat="1">
      <alignment vertical="center"/>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0" fillId="0" borderId="24"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9" xfId="0" applyFont="1" applyBorder="1" applyNumberFormat="1">
      <alignment vertical="center"/>
    </xf>
    <xf numFmtId="49" fontId="23" fillId="0" borderId="38" xfId="0" applyFont="1" applyBorder="1" applyNumberFormat="1">
      <alignment horizontal="center" vertical="center"/>
    </xf>
    <xf numFmtId="49" fontId="23" fillId="0" borderId="38" xfId="0" applyFont="1" applyBorder="1" applyNumberFormat="1">
      <alignment vertical="center" wrapText="1"/>
    </xf>
    <xf numFmtId="0" fontId="23" fillId="0" borderId="26" xfId="0" applyFont="1" applyBorder="1" applyNumberFormat="1">
      <alignment horizontal="center" vertical="center"/>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45" fillId="0" borderId="38" xfId="0" applyFont="1" applyBorder="1" applyNumberFormat="1">
      <alignment vertical="center" wrapText="1"/>
    </xf>
    <xf numFmtId="0" fontId="23" fillId="43" borderId="19" xfId="0" applyFont="1" applyFill="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horizontal="left" vertical="center" wrapText="1"/>
    </xf>
    <xf numFmtId="0"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vertical="center" wrapText="1"/>
    </xf>
    <xf numFmtId="0" fontId="23" fillId="0" borderId="38" xfId="0" applyFont="1" applyBorder="1" applyNumberFormat="1">
      <alignment horizontal="left" vertical="center" wrapText="1"/>
    </xf>
    <xf numFmtId="49" fontId="23" fillId="0" borderId="38" xfId="0" applyFont="1" applyBorder="1" applyNumberFormat="1">
      <alignment horizontal="left" vertical="center" wrapText="1"/>
    </xf>
    <xf numFmtId="0" fontId="23" fillId="43" borderId="38" xfId="0" applyFont="1" applyFill="1" applyBorder="1" applyNumberFormat="1">
      <alignment horizontal="left" vertical="center" wrapText="1"/>
    </xf>
    <xf numFmtId="49" fontId="23" fillId="0" borderId="38" xfId="0" applyFont="1" applyBorder="1" applyNumberFormat="1">
      <alignment horizontal="center"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23" fillId="0" borderId="38" xfId="0" applyFont="1" applyBorder="1" applyNumberFormat="1">
      <alignment horizontal="center" vertical="center" wrapText="1"/>
    </xf>
    <xf numFmtId="0" fontId="48" fillId="40" borderId="39"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45" fillId="0" borderId="38" xfId="0" applyFont="1" applyBorder="1" applyNumberFormat="1">
      <alignment horizontal="center" vertical="center" wrapText="1"/>
    </xf>
    <xf numFmtId="0" fontId="48" fillId="40" borderId="39" xfId="0" applyFont="1" applyFill="1" applyBorder="1" applyNumberFormat="1">
      <alignment vertical="center"/>
    </xf>
    <xf numFmtId="0" fontId="48" fillId="0" borderId="38" xfId="0" applyFont="1" applyBorder="1" applyNumberFormat="1">
      <alignment horizontal="left" vertical="center"/>
    </xf>
    <xf numFmtId="49" fontId="23" fillId="39" borderId="19" xfId="0" applyFont="1" applyFill="1" applyBorder="1" applyNumberFormat="1">
      <alignment horizontal="left" vertical="center" wrapText="1"/>
      <protection locked="0"/>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0" borderId="21" xfId="0" applyFont="1" applyBorder="1" applyNumberFormat="1">
      <alignment horizontal="lef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49" fontId="100" fillId="0" borderId="14" xfId="0" applyFont="1" applyBorder="1" applyNumberFormat="1">
      <alignment vertical="top" wrapText="1"/>
    </xf>
    <xf numFmtId="49" fontId="96" fillId="0" borderId="14" xfId="0" applyFont="1" applyBorder="1" applyNumberFormat="1">
      <alignment horizontal="center" vertical="top" wrapText="1"/>
    </xf>
    <xf numFmtId="49" fontId="96" fillId="34" borderId="14" xfId="0" applyFont="1" applyFill="1" applyBorder="1" applyNumberFormat="1">
      <alignment horizontal="center" vertical="top"/>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0" fontId="100" fillId="0" borderId="14" xfId="0" applyFont="1" applyBorder="1" applyNumberFormat="1">
      <alignment vertical="top" wrapText="1"/>
    </xf>
    <xf numFmtId="49" fontId="100" fillId="0" borderId="0" xfId="0" applyFont="1" applyNumberFormat="1">
      <alignment vertical="top" wrapText="1"/>
    </xf>
    <xf numFmtId="49" fontId="100" fillId="0" borderId="0" xfId="0" applyFont="1" applyNumberFormat="1">
      <alignment vertical="top"/>
    </xf>
    <xf numFmtId="49" fontId="100" fillId="0" borderId="0" xfId="0" applyFont="1" applyNumberFormat="1">
      <alignment horizontal="center" vertical="top" wrapText="1"/>
    </xf>
    <xf numFmtId="49" fontId="100" fillId="0" borderId="14" xfId="0" applyFont="1" applyBorder="1" applyNumberFormat="1">
      <alignment horizontal="center" vertical="top" wrapText="1"/>
    </xf>
    <xf numFmtId="49" fontId="100" fillId="0" borderId="14" xfId="0" applyFont="1" applyBorder="1" applyNumberFormat="1">
      <alignment horizontal="center" vertical="top" wrapText="1"/>
    </xf>
    <xf numFmtId="49" fontId="100" fillId="34" borderId="14" xfId="0" applyFont="1" applyFill="1" applyBorder="1" applyNumberFormat="1">
      <alignment horizontal="center" vertical="top" wrapText="1"/>
    </xf>
    <xf numFmtId="49" fontId="96" fillId="34" borderId="14" xfId="0" applyFont="1" applyFill="1" applyBorder="1" applyNumberFormat="1">
      <alignment horizontal="center" vertical="top" wrapText="1"/>
    </xf>
    <xf numFmtId="49" fontId="100" fillId="0" borderId="14" xfId="0" applyFont="1" applyBorder="1" applyNumberFormat="1">
      <alignment horizontal="left" vertical="top" wrapText="1"/>
    </xf>
    <xf numFmtId="0" fontId="96" fillId="34" borderId="14" xfId="0" applyFont="1" applyFill="1" applyBorder="1" applyNumberFormat="1">
      <alignment horizontal="center" vertical="top" wrapText="1"/>
    </xf>
    <xf numFmtId="0" fontId="100" fillId="34" borderId="14" xfId="0" applyFont="1" applyFill="1" applyBorder="1" applyNumberFormat="1">
      <alignment horizontal="right" vertical="center"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0" fontId="100" fillId="0" borderId="14" xfId="0" applyFont="1" applyBorder="1" applyNumberFormat="1">
      <alignment horizontal="left" vertical="top" wrapText="1"/>
    </xf>
    <xf numFmtId="49" fontId="100" fillId="34" borderId="14" xfId="0" applyFont="1" applyFill="1" applyBorder="1" applyNumberFormat="1">
      <alignment horizontal="left" vertical="top" wrapText="1"/>
    </xf>
    <xf numFmtId="0" fontId="100" fillId="34" borderId="14" xfId="0" applyFont="1" applyFill="1" applyBorder="1" applyNumberFormat="1">
      <alignment horizontal="center" vertical="center" wrapText="1"/>
    </xf>
    <xf numFmtId="0" fontId="100" fillId="34" borderId="14" xfId="0" applyFont="1" applyFill="1" applyBorder="1" applyNumberFormat="1">
      <alignment horizontal="center" vertical="center"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19" xfId="0" applyFont="1" applyBorder="1" applyNumberFormat="1">
      <alignment horizontal="center" vertical="top" wrapText="1"/>
    </xf>
    <xf numFmtId="0" fontId="100" fillId="0" borderId="19" xfId="0" applyFont="1" applyBorder="1" applyNumberFormat="1">
      <alignment horizontal="left" vertical="top" wrapText="1"/>
    </xf>
    <xf numFmtId="49" fontId="100" fillId="0" borderId="39" xfId="0" applyFont="1" applyBorder="1" applyNumberFormat="1">
      <alignment horizontal="center" vertical="top" wrapText="1"/>
    </xf>
    <xf numFmtId="49" fontId="100" fillId="0" borderId="39" xfId="0" applyFont="1" applyBorder="1" applyNumberFormat="1">
      <alignment horizontal="center" vertical="top" wrapText="1"/>
    </xf>
    <xf numFmtId="0" fontId="100" fillId="0" borderId="15" xfId="0" applyFont="1" applyBorder="1" applyNumberFormat="1">
      <alignment horizontal="left" vertical="top" wrapText="1"/>
    </xf>
    <xf numFmtId="49" fontId="100" fillId="0" borderId="25"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24" xfId="0" applyFont="1" applyBorder="1" applyNumberFormat="1">
      <alignment horizontal="center" vertical="top" wrapText="1"/>
    </xf>
    <xf numFmtId="0" fontId="100" fillId="0" borderId="19" xfId="0" applyFont="1" applyBorder="1" applyNumberFormat="1">
      <alignment vertical="top" wrapText="1"/>
    </xf>
    <xf numFmtId="49" fontId="96" fillId="0" borderId="14" xfId="0" applyFont="1" applyBorder="1" applyNumberFormat="1">
      <alignment horizontal="left" vertical="top" wrapText="1"/>
    </xf>
    <xf numFmtId="0" fontId="96" fillId="0" borderId="16" xfId="0" applyFont="1" applyBorder="1" applyNumberFormat="1">
      <alignment horizontal="center" vertical="center" wrapText="1"/>
    </xf>
    <xf numFmtId="0" fontId="96" fillId="0" borderId="16" xfId="0" applyFont="1" applyBorder="1" applyNumberFormat="1">
      <alignment horizontal="center" vertical="center"/>
    </xf>
    <xf numFmtId="49" fontId="96" fillId="0" borderId="14" xfId="0" applyFont="1" applyBorder="1" applyNumberFormat="1">
      <alignment horizontal="center" vertical="center" wrapText="1"/>
    </xf>
    <xf numFmtId="0" fontId="96" fillId="0" borderId="14" xfId="0" applyFont="1" applyBorder="1" applyNumberFormat="1">
      <alignment vertical="center" wrapText="1"/>
    </xf>
    <xf numFmtId="49" fontId="100" fillId="0" borderId="16" xfId="0" applyFont="1" applyBorder="1" applyNumberFormat="1">
      <alignment horizontal="left" vertical="top" wrapText="1"/>
    </xf>
    <xf numFmtId="0" fontId="96" fillId="0" borderId="14" xfId="0" applyFont="1" applyBorder="1" applyNumberFormat="1">
      <alignment horizontal="center"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100" fillId="0" borderId="32" xfId="0" applyFont="1" applyBorder="1" applyNumberFormat="1">
      <alignment horizontal="left" vertical="top" wrapText="1"/>
    </xf>
    <xf numFmtId="49" fontId="100" fillId="0" borderId="15" xfId="0" applyFont="1" applyBorder="1" applyNumberFormat="1">
      <alignment horizontal="left" vertical="top"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38" xfId="0" applyFont="1" applyBorder="1" applyNumberFormat="1">
      <alignment horizontal="left" vertical="top" wrapText="1"/>
    </xf>
    <xf numFmtId="0" fontId="100" fillId="0" borderId="38" xfId="0" applyFont="1" applyBorder="1" applyNumberFormat="1">
      <alignment horizontal="left" vertical="top" wrapText="1"/>
    </xf>
    <xf numFmtId="49" fontId="100" fillId="0" borderId="0" xfId="0" applyFont="1" applyNumberFormat="1">
      <alignment horizontal="left" vertical="top" wrapText="1"/>
    </xf>
    <xf numFmtId="49" fontId="100" fillId="34" borderId="0" xfId="0" applyFont="1" applyFill="1" applyNumberFormat="1">
      <alignment horizontal="left" vertical="top" wrapText="1"/>
    </xf>
    <xf numFmtId="0" fontId="100" fillId="0" borderId="0" xfId="0" applyFont="1" applyNumberFormat="1">
      <alignment vertical="top"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0" fillId="0" borderId="0" xfId="0" applyFont="1" applyNumberFormat="1">
      <alignment horizontal="left" vertical="center"/>
    </xf>
    <xf numFmtId="0" fontId="0" fillId="37" borderId="14" xfId="0" applyFont="1" applyFill="1" applyBorder="1" applyNumberFormat="1">
      <alignment horizontal="right" vertical="center" wrapText="1" indent="1"/>
    </xf>
    <xf numFmtId="0" fontId="0" fillId="0" borderId="16"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indent="6"/>
      <protection locked="0"/>
    </xf>
    <xf numFmtId="167" fontId="0" fillId="42" borderId="14" xfId="0" applyFont="1" applyFill="1" applyBorder="1" applyNumberFormat="1">
      <alignment horizontal="center" vertical="center" wrapText="1"/>
      <protection locked="0"/>
    </xf>
    <xf numFmtId="49" fontId="23" fillId="0" borderId="14" xfId="0" applyFont="1" applyBorder="1" applyNumberFormat="1">
      <alignment horizontal="left" vertical="center" wrapText="1"/>
    </xf>
    <xf numFmtId="49" fontId="106" fillId="40" borderId="16" xfId="0" applyFont="1" applyFill="1" applyBorder="1" applyNumberFormat="1">
      <alignment horizontal="left" vertical="center"/>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54" fillId="0" borderId="0" xfId="0" applyFont="1" applyNumberFormat="1">
      <alignment horizontal="left" vertical="center"/>
    </xf>
    <xf numFmtId="49" fontId="40" fillId="0" borderId="0" xfId="0" applyFont="1" applyNumberFormat="1">
      <alignment vertical="top"/>
    </xf>
    <xf numFmtId="49" fontId="0" fillId="0" borderId="26" xfId="0" applyFont="1" applyBorder="1" applyNumberFormat="1">
      <alignment vertical="top"/>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0" fillId="0" borderId="0" xfId="0" applyFont="1" applyNumberFormat="1">
      <alignment vertical="top"/>
    </xf>
    <xf numFmtId="49" fontId="54" fillId="0" borderId="0" xfId="0" applyFont="1" applyNumberFormat="1">
      <alignment horizontal="left" vertical="center"/>
    </xf>
    <xf numFmtId="49" fontId="54" fillId="0" borderId="0" xfId="0" applyFont="1" applyNumberFormat="1">
      <alignment horizontal="left" vertical="top"/>
    </xf>
    <xf numFmtId="49" fontId="72" fillId="40" borderId="16" xfId="0" applyFont="1" applyFill="1" applyBorder="1" applyNumberFormat="1">
      <alignment horizontal="left" vertical="top"/>
    </xf>
    <xf numFmtId="49" fontId="114" fillId="40" borderId="17" xfId="0" applyFont="1" applyFill="1" applyBorder="1" applyNumberFormat="1">
      <alignment horizontal="left" vertical="center"/>
    </xf>
    <xf numFmtId="49" fontId="55"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4" xfId="0" applyFont="1" applyBorder="1" applyNumberFormat="1">
      <alignment vertical="top"/>
    </xf>
    <xf numFmtId="49" fontId="0" fillId="0" borderId="16" xfId="0" applyFont="1" applyBorder="1" applyNumberFormat="1">
      <alignment vertical="top"/>
    </xf>
    <xf numFmtId="49" fontId="0" fillId="0" borderId="14" xfId="0" applyFont="1" applyBorder="1" applyNumberFormat="1">
      <alignment horizontal="center" vertical="top"/>
    </xf>
    <xf numFmtId="49" fontId="0" fillId="0" borderId="16" xfId="0" applyFont="1" applyBorder="1" applyNumberFormat="1">
      <alignment horizontal="center" vertical="top"/>
    </xf>
    <xf numFmtId="49" fontId="0" fillId="0" borderId="14" xfId="0" applyFont="1" applyBorder="1" applyNumberFormat="1">
      <alignment vertical="top"/>
    </xf>
    <xf numFmtId="49" fontId="0" fillId="45" borderId="19" xfId="0" applyFont="1" applyFill="1" applyBorder="1" applyNumberFormat="1">
      <alignment vertical="top"/>
    </xf>
    <xf numFmtId="49" fontId="0" fillId="0" borderId="16" xfId="0" applyFont="1" applyBorder="1" applyNumberFormat="1">
      <alignment horizontal="center" vertical="top"/>
    </xf>
    <xf numFmtId="49" fontId="0" fillId="46" borderId="14" xfId="0" applyFont="1" applyFill="1" applyBorder="1" applyNumberFormat="1">
      <alignment vertical="top"/>
    </xf>
    <xf numFmtId="49" fontId="0" fillId="0" borderId="17" xfId="0" applyFont="1" applyBorder="1" applyNumberFormat="1">
      <alignment horizontal="center" vertical="top"/>
    </xf>
    <xf numFmtId="49" fontId="0" fillId="3" borderId="14" xfId="0" applyFont="1" applyFill="1" applyBorder="1" applyNumberFormat="1">
      <alignment vertical="top"/>
    </xf>
    <xf numFmtId="49" fontId="0" fillId="47" borderId="14" xfId="0" applyFont="1" applyFill="1" applyBorder="1" applyNumberFormat="1">
      <alignment vertical="top"/>
    </xf>
    <xf numFmtId="49" fontId="0" fillId="16" borderId="19" xfId="0" applyFont="1" applyFill="1" applyBorder="1" applyNumberFormat="1">
      <alignment vertical="top"/>
    </xf>
    <xf numFmtId="49" fontId="0" fillId="5" borderId="16" xfId="0" applyFont="1" applyFill="1" applyBorder="1" applyNumberFormat="1">
      <alignment vertical="top"/>
    </xf>
    <xf numFmtId="49" fontId="0" fillId="5" borderId="14" xfId="0" applyFont="1" applyFill="1" applyBorder="1" applyNumberFormat="1">
      <alignment vertical="top"/>
    </xf>
    <xf numFmtId="49" fontId="0" fillId="16" borderId="14"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6" fillId="0" borderId="13" xfId="0" applyFont="1" applyBorder="1" applyNumberFormat="1">
      <alignment vertical="top" wrapText="1"/>
    </xf>
    <xf numFmtId="0" fontId="0" fillId="0" borderId="13" xfId="0" applyFont="1" applyBorder="1" applyNumberFormat="1">
      <alignment vertical="top" wrapText="1"/>
    </xf>
    <xf numFmtId="0" fontId="22" fillId="0" borderId="20" xfId="0" applyFont="1" applyBorder="1" applyNumberFormat="1">
      <alignment vertical="top" wrapText="1"/>
    </xf>
    <xf numFmtId="0" fontId="0" fillId="0" borderId="0" xfId="0" applyFont="1" applyNumberFormat="1">
      <alignment vertical="top"/>
    </xf>
    <xf numFmtId="0" fontId="0" fillId="0" borderId="14" xfId="0" applyFont="1" applyBorder="1" applyNumberFormat="1">
      <alignment vertical="top" wrapText="1"/>
    </xf>
    <xf numFmtId="49" fontId="0" fillId="0" borderId="14" xfId="0" applyFont="1" applyBorder="1" applyNumberFormat="1">
      <alignment vertical="top" wrapText="1"/>
    </xf>
    <xf numFmtId="49" fontId="0" fillId="0" borderId="19" xfId="0" applyFont="1" applyBorder="1" applyNumberFormat="1">
      <alignment vertical="top"/>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49" fontId="0" fillId="0" borderId="0" xfId="0" applyFont="1" applyNumberFormat="1">
      <alignment vertical="top"/>
    </xf>
  </cellXfs>
  <cellStyles count="111">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ells 2" xfId="51"/>
    <cellStyle name="currency1" xfId="52"/>
    <cellStyle name="Currency2" xfId="53"/>
    <cellStyle name="currency3" xfId="54"/>
    <cellStyle name="currency4" xfId="55"/>
    <cellStyle name="Followed Hyperlink" xfId="56"/>
    <cellStyle name="Header 3" xfId="57"/>
    <cellStyle name="Hyperlink" xfId="58" builtinId="8"/>
    <cellStyle name="Normal1" xfId="59"/>
    <cellStyle name="Normal2" xfId="53"/>
    <cellStyle name="Percent1" xfId="53"/>
    <cellStyle name="Title 4" xfId="60"/>
    <cellStyle name="Ввод  2" xfId="61"/>
    <cellStyle name="Гиперссылка 2" xfId="62"/>
    <cellStyle name="Гиперссылка 2 2" xfId="63"/>
    <cellStyle name="Гиперссылка 3" xfId="64"/>
    <cellStyle name="Гиперссылка 4" xfId="65"/>
    <cellStyle name="Гиперссылка 5" xfId="66"/>
    <cellStyle name="Заголовок" xfId="67"/>
    <cellStyle name="ЗаголовокСтолбца" xfId="68"/>
    <cellStyle name="Значение" xfId="69"/>
    <cellStyle name="Обычный 10" xfId="70"/>
    <cellStyle name="Обычный 12" xfId="71"/>
    <cellStyle name="Обычный 12 2" xfId="72"/>
    <cellStyle name="Обычный 14" xfId="71"/>
    <cellStyle name="Обычный 14 2" xfId="71"/>
    <cellStyle name="Обычный 14 3" xfId="71"/>
    <cellStyle name="Обычный 14 4" xfId="71"/>
    <cellStyle name="Обычный 15" xfId="71"/>
    <cellStyle name="Обычный 2" xfId="73"/>
    <cellStyle name="Обычный 2 10 2" xfId="74"/>
    <cellStyle name="Обычный 2 2" xfId="75"/>
    <cellStyle name="Обычный 2 3" xfId="72"/>
    <cellStyle name="Обычный 2 4" xfId="76"/>
    <cellStyle name="Обычный 2 5" xfId="74"/>
    <cellStyle name="Обычный 20" xfId="77"/>
    <cellStyle name="Обычный 21" xfId="77"/>
    <cellStyle name="Обычный 22" xfId="77"/>
    <cellStyle name="Обычный 23" xfId="77"/>
    <cellStyle name="Обычный 3" xfId="70"/>
    <cellStyle name="Обычный 3 2" xfId="76"/>
    <cellStyle name="Обычный 3 3" xfId="78"/>
    <cellStyle name="Обычный 3 4" xfId="74"/>
    <cellStyle name="Обычный 4" xfId="79"/>
    <cellStyle name="Обычный 5" xfId="76"/>
    <cellStyle name="Обычный 6" xfId="76"/>
    <cellStyle name="Обычный 7" xfId="71"/>
    <cellStyle name="Обычный_BALANCE.WARM.2007YEAR(FACT)" xfId="74"/>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tarif.gov-murman.ru/bitrix/components/b1team/govmurman.element.file/download.php?ID=473833&amp;FID=684201" TargetMode="External"/><Relationship Id="rId5" Type="http://schemas.openxmlformats.org/officeDocument/2006/relationships/hyperlink" Target="https://npa.gov-murman.ru/bitrix/components/b1team/govmurman.element.file/download.php?ID=508455&amp;FID=750728" TargetMode="External"/><Relationship Id="rId6" Type="http://schemas.openxmlformats.org/officeDocument/2006/relationships/hyperlink" Target="mailto:luhaninaov@mures.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hyperlink" Target="http://www.mures.ru" TargetMode="External"/><Relationship Id="rId3" Type="http://schemas.openxmlformats.org/officeDocument/2006/relationships/hyperlink" Target="https://portal.eias.ru/Portal/DownloadPage.aspx?type=12&amp;guid=15ecc088-9682-4ec9-99ec-eebe1a8e0f50" TargetMode="External"/><Relationship Id="rId4" Type="http://schemas.openxmlformats.org/officeDocument/2006/relationships/hyperlink" Target="https://portal.eias.ru/Portal/DownloadPage.aspx?type=12&amp;guid=302d4ece-e790-4d32-a7d8-ffc65b77ff6b" TargetMode="External"/><Relationship Id="rId5" Type="http://schemas.openxmlformats.org/officeDocument/2006/relationships/hyperlink" Target="https://portal.eias.ru/Portal/DownloadPage.aspx?type=12&amp;guid=4b05fa97-8be3-4d16-bf27-a10e82cda4bf" TargetMode="External"/><Relationship Id="rId6" Type="http://schemas.openxmlformats.org/officeDocument/2006/relationships/hyperlink" Target="https://portal.eias.ru/Portal/DownloadPage.aspx?type=12&amp;guid=4b05fa97-8be3-4d16-bf27-a10e82cda4bf" TargetMode="External"/><Relationship Id="rId7" Type="http://schemas.openxmlformats.org/officeDocument/2006/relationships/hyperlink" Target="https://portal.eias.ru/Portal/DownloadPage.aspx?type=12&amp;guid=4b05fa97-8be3-4d16-bf27-a10e82cda4bf" TargetMode="External"/><Relationship Id="rId8" Type="http://schemas.openxmlformats.org/officeDocument/2006/relationships/hyperlink" Target="https://portal.eias.ru/Portal/DownloadPage.aspx?type=12&amp;guid=4b05fa97-8be3-4d16-bf27-a10e82cda4bf" TargetMode="External"/><Relationship Id="rId9" Type="http://schemas.openxmlformats.org/officeDocument/2006/relationships/hyperlink" Target="https://portal.eias.ru/Portal/DownloadPage.aspx?type=12&amp;guid=4b05fa97-8be3-4d16-bf27-a10e82cda4bf" TargetMode="Externa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7ABFA5-F4BA-20A7-2EE5-23A0B22D020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1332" width="5.421875" customWidth="1"/>
    <col min="2" max="2" style="31332" width="9.140625" customWidth="1"/>
    <col min="3" max="3" style="31332" width="16.421875" customWidth="1"/>
    <col min="4" max="25" style="31332" width="6.28125" customWidth="1"/>
    <col min="26" max="28" style="31332" width="11.00390625"/>
  </cols>
  <sheetData>
    <row customHeight="1" ht="15.75">
      <c r="A1" s="2066"/>
      <c r="B1" s="2067"/>
      <c r="C1" s="2067"/>
      <c r="D1" s="2067"/>
      <c r="E1" s="2067"/>
      <c r="F1" s="2067"/>
      <c r="G1" s="2067"/>
      <c r="H1" s="2067"/>
      <c r="I1" s="2067"/>
      <c r="J1" s="2067"/>
      <c r="K1" s="2067"/>
      <c r="L1" s="2067"/>
      <c r="M1" s="2067"/>
      <c r="N1" s="2067"/>
      <c r="O1" s="2067"/>
      <c r="P1" s="2067"/>
      <c r="Q1" s="2067"/>
      <c r="R1" s="2067"/>
      <c r="S1" s="2067"/>
      <c r="T1" s="2067"/>
      <c r="U1" s="2067"/>
      <c r="V1" s="2067"/>
      <c r="W1" s="2067"/>
      <c r="X1" s="2067"/>
      <c r="Y1" s="2068"/>
      <c r="Z1" s="2067"/>
      <c r="AA1" s="2069" t="s">
        <v>0</v>
      </c>
      <c r="AB1" s="2067"/>
    </row>
    <row customHeight="1" ht="17.25">
      <c r="A2" s="2067"/>
      <c r="B2" s="2362" t="s">
        <v>1</v>
      </c>
      <c r="C2" s="2362"/>
      <c r="D2" s="2362"/>
      <c r="E2" s="2362"/>
      <c r="F2" s="2362"/>
      <c r="G2" s="2362"/>
      <c r="H2" s="2362"/>
      <c r="I2" s="2362"/>
      <c r="J2" s="2362"/>
      <c r="K2" s="2362"/>
      <c r="L2" s="2362"/>
      <c r="M2" s="2362"/>
      <c r="N2" s="2362"/>
      <c r="O2" s="2362"/>
      <c r="P2" s="2362"/>
      <c r="Q2" s="2071"/>
      <c r="R2" s="2071"/>
      <c r="S2" s="2071"/>
      <c r="T2" s="2071"/>
      <c r="U2" s="2071"/>
      <c r="V2" s="2072"/>
      <c r="W2" s="2071"/>
      <c r="X2" s="2071"/>
      <c r="Y2" s="2068"/>
      <c r="Z2" s="2067"/>
      <c r="AA2" s="2069"/>
      <c r="AB2" s="2067"/>
    </row>
    <row customHeight="1" ht="15.75">
      <c r="A3" s="2067"/>
      <c r="B3" s="2363" t="s">
        <v>2</v>
      </c>
      <c r="C3" s="2363"/>
      <c r="D3" s="2363"/>
      <c r="E3" s="2363"/>
      <c r="F3" s="2363"/>
      <c r="G3" s="2363"/>
      <c r="H3" s="2363"/>
      <c r="I3" s="2363"/>
      <c r="J3" s="2363"/>
      <c r="K3" s="2363"/>
      <c r="L3" s="2363"/>
      <c r="M3" s="2363"/>
      <c r="N3" s="2363"/>
      <c r="O3" s="2363"/>
      <c r="P3" s="2363"/>
      <c r="Q3" s="2072"/>
      <c r="R3" s="2072"/>
      <c r="S3" s="2071"/>
      <c r="T3" s="2071"/>
      <c r="U3" s="2071"/>
      <c r="V3" s="2072"/>
      <c r="W3" s="2072"/>
      <c r="X3" s="2072"/>
      <c r="Y3" s="2072"/>
      <c r="Z3" s="2067"/>
      <c r="AA3" s="2069"/>
      <c r="AB3" s="2067"/>
    </row>
    <row customHeight="1" ht="17.25">
      <c r="A4" s="2067"/>
      <c r="B4" s="2073"/>
      <c r="C4" s="2067"/>
      <c r="D4" s="2072"/>
      <c r="E4" s="2072"/>
      <c r="F4" s="2072"/>
      <c r="G4" s="2072"/>
      <c r="H4" s="2072"/>
      <c r="I4" s="2072"/>
      <c r="J4" s="2072"/>
      <c r="K4" s="2072"/>
      <c r="L4" s="2072"/>
      <c r="M4" s="2072"/>
      <c r="N4" s="2072"/>
      <c r="O4" s="2072"/>
      <c r="P4" s="2072"/>
      <c r="Q4" s="2072"/>
      <c r="R4" s="2072"/>
      <c r="S4" s="2072"/>
      <c r="T4" s="2072"/>
      <c r="U4" s="2072"/>
      <c r="V4" s="2072"/>
      <c r="W4" s="2072"/>
      <c r="X4" s="2072"/>
      <c r="Y4" s="2072"/>
      <c r="Z4" s="2067"/>
      <c r="AA4" s="2069"/>
      <c r="AB4" s="2067"/>
    </row>
    <row customHeight="1" ht="22.5">
      <c r="A5" s="2074"/>
      <c r="B5" s="2364"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365"/>
      <c r="D5" s="2365"/>
      <c r="E5" s="2365"/>
      <c r="F5" s="2365"/>
      <c r="G5" s="2365"/>
      <c r="H5" s="2365"/>
      <c r="I5" s="2365"/>
      <c r="J5" s="2365"/>
      <c r="K5" s="2365"/>
      <c r="L5" s="2365"/>
      <c r="M5" s="2365"/>
      <c r="N5" s="2365"/>
      <c r="O5" s="2365"/>
      <c r="P5" s="2365"/>
      <c r="Q5" s="2365"/>
      <c r="R5" s="2365"/>
      <c r="S5" s="2365"/>
      <c r="T5" s="2365"/>
      <c r="U5" s="2365"/>
      <c r="V5" s="2365"/>
      <c r="W5" s="2365"/>
      <c r="X5" s="2365"/>
      <c r="Y5" s="2366"/>
      <c r="Z5" s="2074"/>
      <c r="AA5" s="2069"/>
      <c r="AB5" s="2074"/>
    </row>
    <row customHeight="1" ht="15">
      <c r="A6" s="2075"/>
      <c r="B6" s="2354" t="s">
        <v>3</v>
      </c>
      <c r="C6" s="2357"/>
      <c r="D6" s="2076"/>
      <c r="E6" s="2076"/>
      <c r="F6" s="2076"/>
      <c r="G6" s="2076"/>
      <c r="H6" s="2076"/>
      <c r="I6" s="2076"/>
      <c r="J6" s="2076"/>
      <c r="K6" s="2076"/>
      <c r="L6" s="2076"/>
      <c r="M6" s="2076"/>
      <c r="N6" s="2076"/>
      <c r="O6" s="2076"/>
      <c r="P6" s="2076"/>
      <c r="Q6" s="2076"/>
      <c r="R6" s="2076"/>
      <c r="S6" s="2076"/>
      <c r="T6" s="2076"/>
      <c r="U6" s="2076"/>
      <c r="V6" s="2076"/>
      <c r="W6" s="2076"/>
      <c r="X6" s="2076"/>
      <c r="Y6" s="2077"/>
      <c r="Z6" s="2078"/>
      <c r="AA6" s="2079"/>
      <c r="AB6" s="2079"/>
    </row>
    <row customHeight="1" ht="15">
      <c r="A7" s="2075"/>
      <c r="B7" s="2354"/>
      <c r="C7" s="2357"/>
      <c r="D7" s="2076"/>
      <c r="E7" s="2076"/>
      <c r="F7" s="2080"/>
      <c r="G7" s="2080"/>
      <c r="H7" s="2080"/>
      <c r="I7" s="2080"/>
      <c r="J7" s="2080"/>
      <c r="K7" s="2080"/>
      <c r="L7" s="2080"/>
      <c r="M7" s="2080"/>
      <c r="N7" s="2080"/>
      <c r="O7" s="2076"/>
      <c r="P7" s="2080"/>
      <c r="Q7" s="2080"/>
      <c r="R7" s="2080"/>
      <c r="S7" s="2080"/>
      <c r="T7" s="2080"/>
      <c r="U7" s="2080"/>
      <c r="V7" s="2080"/>
      <c r="W7" s="2080"/>
      <c r="X7" s="2080"/>
      <c r="Y7" s="2077"/>
      <c r="Z7" s="2078"/>
      <c r="AA7" s="2079"/>
      <c r="AB7" s="2079"/>
    </row>
    <row customHeight="1" ht="15">
      <c r="A8" s="2075"/>
      <c r="B8" s="2354"/>
      <c r="C8" s="2357"/>
      <c r="D8" s="2081"/>
      <c r="E8" s="2082" t="s">
        <v>4</v>
      </c>
      <c r="F8" s="2367" t="s">
        <v>5</v>
      </c>
      <c r="G8" s="2356"/>
      <c r="H8" s="2356"/>
      <c r="I8" s="2356"/>
      <c r="J8" s="2356"/>
      <c r="K8" s="2356"/>
      <c r="L8" s="2356"/>
      <c r="M8" s="2356"/>
      <c r="N8" s="2081"/>
      <c r="O8" s="2083" t="s">
        <v>4</v>
      </c>
      <c r="P8" s="2368" t="s">
        <v>6</v>
      </c>
      <c r="Q8" s="2369"/>
      <c r="R8" s="2369"/>
      <c r="S8" s="2369"/>
      <c r="T8" s="2369"/>
      <c r="U8" s="2369"/>
      <c r="V8" s="2369"/>
      <c r="W8" s="2369"/>
      <c r="X8" s="2369"/>
      <c r="Y8" s="2077"/>
      <c r="Z8" s="2078"/>
      <c r="AA8" s="2079"/>
      <c r="AB8" s="2079"/>
    </row>
    <row customHeight="1" ht="15">
      <c r="A9" s="2075"/>
      <c r="B9" s="2354"/>
      <c r="C9" s="2357"/>
      <c r="D9" s="2081"/>
      <c r="E9" s="2084" t="s">
        <v>4</v>
      </c>
      <c r="F9" s="2367" t="s">
        <v>7</v>
      </c>
      <c r="G9" s="2356"/>
      <c r="H9" s="2356"/>
      <c r="I9" s="2356"/>
      <c r="J9" s="2356"/>
      <c r="K9" s="2356"/>
      <c r="L9" s="2356"/>
      <c r="M9" s="2356"/>
      <c r="N9" s="2081"/>
      <c r="O9" s="2085" t="s">
        <v>4</v>
      </c>
      <c r="P9" s="2368" t="s">
        <v>8</v>
      </c>
      <c r="Q9" s="2369"/>
      <c r="R9" s="2369"/>
      <c r="S9" s="2369"/>
      <c r="T9" s="2369"/>
      <c r="U9" s="2369"/>
      <c r="V9" s="2369"/>
      <c r="W9" s="2369"/>
      <c r="X9" s="2369"/>
      <c r="Y9" s="2077"/>
      <c r="Z9" s="2078"/>
      <c r="AA9" s="2079"/>
      <c r="AB9" s="2079"/>
    </row>
    <row customHeight="1" ht="30">
      <c r="A10" s="2075"/>
      <c r="B10" s="2354"/>
      <c r="C10" s="2355"/>
      <c r="D10" s="2086"/>
      <c r="E10" s="2087"/>
      <c r="F10" s="2080"/>
      <c r="G10" s="2080"/>
      <c r="H10" s="2080"/>
      <c r="I10" s="2080"/>
      <c r="J10" s="2080"/>
      <c r="K10" s="2080"/>
      <c r="L10" s="2080"/>
      <c r="M10" s="2080"/>
      <c r="N10" s="2080"/>
      <c r="O10" s="2087"/>
      <c r="P10" s="2080"/>
      <c r="Q10" s="2080"/>
      <c r="R10" s="2080"/>
      <c r="S10" s="2080"/>
      <c r="T10" s="2080"/>
      <c r="U10" s="2080"/>
      <c r="V10" s="2080"/>
      <c r="W10" s="2080"/>
      <c r="X10" s="2080"/>
      <c r="Y10" s="2077"/>
      <c r="Z10" s="2078"/>
      <c r="AA10" s="2079"/>
      <c r="AB10" s="2079"/>
    </row>
    <row customHeight="1" ht="19.5">
      <c r="A11" s="2075"/>
      <c r="B11" s="2352" t="s">
        <v>9</v>
      </c>
      <c r="C11" s="2353"/>
      <c r="D11" s="2081"/>
      <c r="E11" s="2088"/>
      <c r="F11" s="2088"/>
      <c r="G11" s="2088"/>
      <c r="H11" s="2088"/>
      <c r="I11" s="2088"/>
      <c r="J11" s="2088"/>
      <c r="K11" s="2088"/>
      <c r="L11" s="2088"/>
      <c r="M11" s="2088"/>
      <c r="N11" s="2088"/>
      <c r="O11" s="2088"/>
      <c r="P11" s="2088"/>
      <c r="Q11" s="2088"/>
      <c r="R11" s="2088"/>
      <c r="S11" s="2088"/>
      <c r="T11" s="2088"/>
      <c r="U11" s="2088"/>
      <c r="V11" s="2088"/>
      <c r="W11" s="2088"/>
      <c r="X11" s="2088"/>
      <c r="Y11" s="2077"/>
      <c r="Z11" s="2078"/>
      <c r="AA11" s="2079"/>
      <c r="AB11" s="2079"/>
    </row>
    <row customHeight="1" ht="69">
      <c r="A12" s="2075"/>
      <c r="B12" s="2354"/>
      <c r="C12" s="2355"/>
      <c r="D12" s="2089"/>
      <c r="E12" s="2356" t="s">
        <v>10</v>
      </c>
      <c r="F12" s="2356"/>
      <c r="G12" s="2356"/>
      <c r="H12" s="2356"/>
      <c r="I12" s="2356"/>
      <c r="J12" s="2356"/>
      <c r="K12" s="2356"/>
      <c r="L12" s="2356"/>
      <c r="M12" s="2356"/>
      <c r="N12" s="2356"/>
      <c r="O12" s="2356"/>
      <c r="P12" s="2356"/>
      <c r="Q12" s="2356"/>
      <c r="R12" s="2356"/>
      <c r="S12" s="2356"/>
      <c r="T12" s="2356"/>
      <c r="U12" s="2356"/>
      <c r="V12" s="2356"/>
      <c r="W12" s="2356"/>
      <c r="X12" s="2356"/>
      <c r="Y12" s="2077"/>
      <c r="Z12" s="2078"/>
      <c r="AA12" s="2079"/>
      <c r="AB12" s="2079"/>
    </row>
    <row customHeight="1" ht="15">
      <c r="A13" s="2075"/>
      <c r="B13" s="2352" t="s">
        <v>11</v>
      </c>
      <c r="C13" s="2353"/>
      <c r="D13" s="2076"/>
      <c r="E13" s="2088"/>
      <c r="F13" s="2088"/>
      <c r="G13" s="2088"/>
      <c r="H13" s="2088"/>
      <c r="I13" s="2088"/>
      <c r="J13" s="2088"/>
      <c r="K13" s="2088"/>
      <c r="L13" s="2088"/>
      <c r="M13" s="2088"/>
      <c r="N13" s="2088"/>
      <c r="O13" s="2088"/>
      <c r="P13" s="2088"/>
      <c r="Q13" s="2088"/>
      <c r="R13" s="2088"/>
      <c r="S13" s="2088"/>
      <c r="T13" s="2088"/>
      <c r="U13" s="2088"/>
      <c r="V13" s="2088"/>
      <c r="W13" s="2088"/>
      <c r="X13" s="2088"/>
      <c r="Y13" s="2077"/>
      <c r="Z13" s="2078"/>
      <c r="AA13" s="2079"/>
      <c r="AB13" s="2079"/>
    </row>
    <row customHeight="1" ht="57">
      <c r="A14" s="2075"/>
      <c r="B14" s="2354"/>
      <c r="C14" s="2357"/>
      <c r="D14" s="2081"/>
      <c r="E14" s="2360" t="s">
        <v>12</v>
      </c>
      <c r="F14" s="2360"/>
      <c r="G14" s="2360"/>
      <c r="H14" s="2360"/>
      <c r="I14" s="2360"/>
      <c r="J14" s="2360"/>
      <c r="K14" s="2360"/>
      <c r="L14" s="2360"/>
      <c r="M14" s="2360"/>
      <c r="N14" s="2360"/>
      <c r="O14" s="2360"/>
      <c r="P14" s="2360"/>
      <c r="Q14" s="2360"/>
      <c r="R14" s="2360"/>
      <c r="S14" s="2360"/>
      <c r="T14" s="2360"/>
      <c r="U14" s="2360"/>
      <c r="V14" s="2360"/>
      <c r="W14" s="2360"/>
      <c r="X14" s="2360"/>
      <c r="Y14" s="2077"/>
      <c r="Z14" s="2078"/>
      <c r="AA14" s="2079"/>
      <c r="AB14" s="2079"/>
    </row>
    <row customHeight="1" ht="16.5">
      <c r="A15" s="2075"/>
      <c r="B15" s="2358"/>
      <c r="C15" s="2359"/>
      <c r="D15" s="2090"/>
      <c r="E15" s="2091"/>
      <c r="F15" s="2091"/>
      <c r="G15" s="2091"/>
      <c r="H15" s="2091"/>
      <c r="I15" s="2091"/>
      <c r="J15" s="2091"/>
      <c r="K15" s="2091"/>
      <c r="L15" s="2091"/>
      <c r="M15" s="2091"/>
      <c r="N15" s="2091"/>
      <c r="O15" s="2091"/>
      <c r="P15" s="2091"/>
      <c r="Q15" s="2091"/>
      <c r="R15" s="2091"/>
      <c r="S15" s="2091"/>
      <c r="T15" s="2091"/>
      <c r="U15" s="2091"/>
      <c r="V15" s="2091"/>
      <c r="W15" s="2091"/>
      <c r="X15" s="2091"/>
      <c r="Y15" s="2092"/>
      <c r="Z15" s="2078"/>
      <c r="AA15" s="2093"/>
      <c r="AB15" s="2079"/>
    </row>
    <row customHeight="1" ht="95.25">
      <c r="A16" s="2067"/>
      <c r="B16" s="2360"/>
      <c r="C16" s="2361"/>
      <c r="D16" s="2361"/>
      <c r="E16" s="2361"/>
      <c r="F16" s="2361"/>
      <c r="G16" s="2361"/>
      <c r="H16" s="2361"/>
      <c r="I16" s="2361"/>
      <c r="J16" s="2361"/>
      <c r="K16" s="2361"/>
      <c r="L16" s="2361"/>
      <c r="M16" s="2361"/>
      <c r="N16" s="2361"/>
      <c r="O16" s="2361"/>
      <c r="P16" s="2361"/>
      <c r="Q16" s="2361"/>
      <c r="R16" s="2361"/>
      <c r="S16" s="2361"/>
      <c r="T16" s="2361"/>
      <c r="U16" s="2361"/>
      <c r="V16" s="2361"/>
      <c r="W16" s="2361"/>
      <c r="X16" s="2361"/>
      <c r="Y16" s="2361"/>
      <c r="Z16" s="2067"/>
      <c r="AA16" s="2069"/>
      <c r="AB16" s="2067"/>
    </row>
    <row customHeight="1" ht="14.25">
      <c r="A17" s="2067"/>
      <c r="B17" s="2067"/>
      <c r="C17" s="2067"/>
      <c r="D17" s="2067"/>
      <c r="E17" s="2067"/>
      <c r="F17" s="2067"/>
      <c r="G17" s="2067"/>
      <c r="H17" s="2067"/>
      <c r="I17" s="2067"/>
      <c r="J17" s="2067"/>
      <c r="K17" s="2067"/>
      <c r="L17" s="2067"/>
      <c r="M17" s="2067"/>
      <c r="N17" s="2067"/>
      <c r="O17" s="2067"/>
      <c r="P17" s="2067"/>
      <c r="Q17" s="2067"/>
      <c r="R17" s="2067"/>
      <c r="S17" s="2067"/>
      <c r="T17" s="2067"/>
      <c r="U17" s="2067"/>
      <c r="V17" s="2067"/>
      <c r="W17" s="2067"/>
      <c r="X17" s="2067"/>
      <c r="Y17" s="2068"/>
      <c r="Z17" s="2067"/>
      <c r="AA17" s="2069"/>
      <c r="AB17" s="2067"/>
    </row>
    <row customHeight="1" ht="14.25">
      <c r="A18" s="2067"/>
      <c r="B18" s="2067"/>
      <c r="C18" s="2067"/>
      <c r="D18" s="2067"/>
      <c r="E18" s="2067"/>
      <c r="F18" s="2067"/>
      <c r="G18" s="2067"/>
      <c r="H18" s="2067"/>
      <c r="I18" s="2067"/>
      <c r="J18" s="2067"/>
      <c r="K18" s="2067"/>
      <c r="L18" s="2067"/>
      <c r="M18" s="2067"/>
      <c r="N18" s="2067"/>
      <c r="O18" s="2067"/>
      <c r="P18" s="2067"/>
      <c r="Q18" s="2067"/>
      <c r="R18" s="2067"/>
      <c r="S18" s="2067"/>
      <c r="T18" s="2067"/>
      <c r="U18" s="2067"/>
      <c r="V18" s="2067"/>
      <c r="W18" s="2067"/>
      <c r="X18" s="2067"/>
      <c r="Y18" s="2068"/>
      <c r="Z18" s="2067"/>
      <c r="AA18" s="2069"/>
      <c r="AB18" s="2067"/>
    </row>
    <row customHeight="1" ht="14.25">
      <c r="A19" s="2067"/>
      <c r="B19" s="2067"/>
      <c r="C19" s="2067"/>
      <c r="D19" s="2067"/>
      <c r="E19" s="2067"/>
      <c r="F19" s="2067"/>
      <c r="G19" s="2067"/>
      <c r="H19" s="2067"/>
      <c r="I19" s="2067"/>
      <c r="J19" s="2067"/>
      <c r="K19" s="2067"/>
      <c r="L19" s="2067"/>
      <c r="M19" s="2067"/>
      <c r="N19" s="2067"/>
      <c r="O19" s="2067"/>
      <c r="P19" s="2067"/>
      <c r="Q19" s="2067"/>
      <c r="R19" s="2067"/>
      <c r="S19" s="2067"/>
      <c r="T19" s="2067"/>
      <c r="U19" s="2067"/>
      <c r="V19" s="2067"/>
      <c r="W19" s="2067"/>
      <c r="X19" s="2067"/>
      <c r="Y19" s="2068"/>
      <c r="Z19" s="2067"/>
      <c r="AA19" s="2069"/>
      <c r="AB19" s="2067"/>
    </row>
    <row customHeight="1" ht="14.25">
      <c r="A20" s="2067"/>
      <c r="B20" s="2067"/>
      <c r="C20" s="2067"/>
      <c r="D20" s="2067"/>
      <c r="E20" s="2067"/>
      <c r="F20" s="2067"/>
      <c r="G20" s="2067"/>
      <c r="H20" s="2067"/>
      <c r="I20" s="2067"/>
      <c r="J20" s="2067"/>
      <c r="K20" s="2067"/>
      <c r="L20" s="2067"/>
      <c r="M20" s="2067"/>
      <c r="N20" s="2067"/>
      <c r="O20" s="2067"/>
      <c r="P20" s="2067"/>
      <c r="Q20" s="2067"/>
      <c r="R20" s="2067"/>
      <c r="S20" s="2067"/>
      <c r="T20" s="2067"/>
      <c r="U20" s="2067"/>
      <c r="V20" s="2067"/>
      <c r="W20" s="2067"/>
      <c r="X20" s="2067"/>
      <c r="Y20" s="2068"/>
      <c r="Z20" s="2067"/>
      <c r="AA20" s="2069"/>
      <c r="AB20" s="2067"/>
    </row>
    <row customHeight="1" ht="14.25">
      <c r="A21" s="2067"/>
      <c r="B21" s="2067"/>
      <c r="C21" s="2067"/>
      <c r="D21" s="2067"/>
      <c r="E21" s="2067"/>
      <c r="F21" s="2067"/>
      <c r="G21" s="2067"/>
      <c r="H21" s="2067"/>
      <c r="I21" s="2067"/>
      <c r="J21" s="2067"/>
      <c r="K21" s="2067"/>
      <c r="L21" s="2067"/>
      <c r="M21" s="2067"/>
      <c r="N21" s="2067"/>
      <c r="O21" s="2067"/>
      <c r="P21" s="2067"/>
      <c r="Q21" s="2067"/>
      <c r="R21" s="2067"/>
      <c r="S21" s="2067"/>
      <c r="T21" s="2067"/>
      <c r="U21" s="2067"/>
      <c r="V21" s="2067"/>
      <c r="W21" s="2067"/>
      <c r="X21" s="2067"/>
      <c r="Y21" s="2068"/>
      <c r="Z21" s="2067"/>
      <c r="AA21" s="2069"/>
      <c r="AB21" s="2067"/>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F49E1-937B-2929-0E52-676D03CF66F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32070" width="9.140625" hidden="1" customWidth="1"/>
    <col min="2" max="2" style="32071" width="9.140625" hidden="1" customWidth="1"/>
    <col min="3" max="3" style="31547" width="9.140625" hidden="1" customWidth="1"/>
    <col min="4" max="4" style="32072" width="3.7109375" customWidth="1"/>
    <col min="5" max="5" style="32071" width="6.28125" customWidth="1"/>
    <col min="6" max="6" style="31547" width="1.7109375" hidden="1" customWidth="1"/>
    <col min="7" max="8" style="32071" width="30.7109375" customWidth="1"/>
    <col min="9" max="9" style="32071" width="9.00390625" customWidth="1"/>
    <col min="10" max="10" style="32071" width="12.140625" customWidth="1"/>
    <col min="11" max="11" style="32071" width="46.7109375" customWidth="1"/>
    <col min="12" max="12" style="32071" width="100.28125" customWidth="1"/>
    <col min="13" max="13" style="32074" width="7.57421875" customWidth="1"/>
    <col min="14" max="22" style="32071" width="10.57421875"/>
  </cols>
  <sheetData>
    <row s="32075" customFormat="1" customHeight="1" ht="5.25" hidden="1">
      <c r="C1" s="872"/>
      <c r="D1" s="855"/>
      <c r="F1" s="872"/>
      <c r="G1" s="850" t="s">
        <v>82</v>
      </c>
      <c r="H1" s="850" t="s">
        <v>83</v>
      </c>
      <c r="I1" s="850" t="s">
        <v>84</v>
      </c>
      <c r="P1" s="850" t="s">
        <v>82</v>
      </c>
      <c r="Q1" s="850" t="s">
        <v>83</v>
      </c>
      <c r="R1" s="850" t="s">
        <v>84</v>
      </c>
    </row>
    <row s="32075" customFormat="1" customHeight="1" ht="5.25" hidden="1">
      <c r="C2" s="872"/>
      <c r="D2" s="855"/>
      <c r="F2" s="872"/>
    </row>
    <row s="32020" customFormat="1" customHeight="1" ht="6">
      <c r="A3" s="840"/>
      <c r="D3" s="847"/>
      <c r="E3" s="842"/>
      <c r="F3" s="842"/>
      <c r="G3" s="842"/>
      <c r="H3" s="842"/>
      <c r="I3" s="843"/>
      <c r="J3" s="844"/>
      <c r="K3" s="844"/>
      <c r="L3" s="844"/>
    </row>
    <row customHeight="1" ht="22.5">
      <c r="D4" s="811"/>
      <c r="E4" s="2511" t="s">
        <v>429</v>
      </c>
      <c r="F4" s="2511"/>
      <c r="G4" s="2512"/>
      <c r="H4" s="2512"/>
      <c r="I4" s="2513"/>
      <c r="J4" s="852"/>
      <c r="K4" s="814"/>
      <c r="L4" s="814"/>
    </row>
    <row s="31547" customFormat="1" customHeight="1" ht="17.25">
      <c r="A5" s="1120"/>
      <c r="D5" s="1183"/>
      <c r="E5" s="2499" t="str">
        <f>IF(org=0,"Не определено",org)</f>
        <v>АО "Мурманэнергосбыт"</v>
      </c>
      <c r="F5" s="2499"/>
      <c r="G5" s="2500"/>
      <c r="H5" s="2500"/>
      <c r="I5" s="2501"/>
      <c r="J5" s="852"/>
      <c r="K5" s="814"/>
      <c r="L5" s="814"/>
      <c r="M5" s="868"/>
    </row>
    <row s="32020" customFormat="1" customHeight="1" ht="11.25">
      <c r="A6" s="840"/>
      <c r="D6" s="847"/>
      <c r="E6" s="842"/>
      <c r="F6" s="842"/>
      <c r="G6" s="845"/>
      <c r="H6" s="845"/>
      <c r="I6" s="846"/>
      <c r="J6" s="846"/>
      <c r="K6" s="1113"/>
      <c r="L6" s="846"/>
    </row>
    <row customHeight="1" ht="14.25">
      <c r="D7" s="811"/>
      <c r="E7" s="2481" t="s">
        <v>341</v>
      </c>
      <c r="F7" s="2481"/>
      <c r="G7" s="2482"/>
      <c r="H7" s="2482"/>
      <c r="I7" s="2482"/>
      <c r="J7" s="2482"/>
      <c r="K7" s="2482"/>
      <c r="L7" s="2487" t="s">
        <v>342</v>
      </c>
    </row>
    <row customHeight="1" ht="45">
      <c r="D8" s="811"/>
      <c r="E8" s="834" t="s">
        <v>87</v>
      </c>
      <c r="F8" s="1184"/>
      <c r="G8" s="826" t="s">
        <v>85</v>
      </c>
      <c r="H8" s="826" t="s">
        <v>86</v>
      </c>
      <c r="I8" s="775" t="s">
        <v>84</v>
      </c>
      <c r="J8" s="775" t="s">
        <v>430</v>
      </c>
      <c r="K8" s="775" t="s">
        <v>431</v>
      </c>
      <c r="L8" s="2487"/>
    </row>
    <row customHeight="1" ht="12" hidden="1">
      <c r="D9" s="848"/>
      <c r="E9" s="854"/>
      <c r="F9" s="1191"/>
      <c r="G9" s="854"/>
      <c r="H9" s="854"/>
      <c r="I9" s="854"/>
      <c r="J9" s="854"/>
      <c r="K9" s="854"/>
      <c r="L9" s="854"/>
      <c r="M9" s="808"/>
    </row>
    <row customHeight="1" ht="14.25" hidden="1">
      <c r="A10" s="866"/>
      <c r="B10" s="866"/>
      <c r="D10" s="867"/>
      <c r="E10" s="873">
        <v>0</v>
      </c>
      <c r="F10" s="1182"/>
      <c r="G10" s="869"/>
      <c r="H10" s="869"/>
      <c r="I10" s="869"/>
      <c r="J10" s="869"/>
      <c r="K10" s="869"/>
      <c r="L10" s="2497" t="s">
        <v>432</v>
      </c>
      <c r="M10" s="868"/>
      <c r="N10" s="866"/>
      <c r="O10" s="866"/>
      <c r="P10" s="866"/>
      <c r="Q10" s="866"/>
      <c r="R10" s="866"/>
      <c r="S10" s="866"/>
      <c r="T10" s="866"/>
      <c r="U10" s="866"/>
      <c r="V10" s="866"/>
    </row>
    <row customHeight="1" ht="15" hidden="1">
      <c r="A11" s="2374"/>
      <c r="B11" s="865"/>
      <c r="C11" s="865"/>
      <c r="D11" s="1226"/>
      <c r="E11" s="874"/>
      <c r="F11" s="874"/>
      <c r="G11" s="874"/>
      <c r="H11" s="874"/>
      <c r="I11" s="875"/>
      <c r="J11" s="876"/>
      <c r="K11" s="1074"/>
      <c r="L11" s="2514"/>
      <c r="M11" s="872"/>
      <c r="N11" s="872"/>
      <c r="O11" s="872"/>
      <c r="P11" s="877"/>
      <c r="Q11" s="877"/>
      <c r="R11" s="878"/>
      <c r="S11" s="872"/>
      <c r="T11" s="872"/>
      <c r="U11" s="872"/>
      <c r="V11" s="872"/>
    </row>
    <row s="32020" customFormat="1" customHeight="1" ht="14.25">
      <c r="A12" s="2374"/>
      <c r="B12" s="865"/>
      <c r="C12" s="865"/>
      <c r="D12" s="1227"/>
      <c r="E12" s="1184">
        <v>1</v>
      </c>
      <c r="F12" s="1225">
        <v>23</v>
      </c>
      <c r="G12" s="1224"/>
      <c r="H12" s="1154"/>
      <c r="I12" s="1152"/>
      <c r="J12" s="881" t="s">
        <v>66</v>
      </c>
      <c r="K12" s="1527" t="s">
        <v>24</v>
      </c>
      <c r="L12" s="2514"/>
      <c r="M12" s="872"/>
      <c r="N12" s="872"/>
      <c r="O12" s="872"/>
      <c r="P12" s="877" t="s">
        <v>433</v>
      </c>
      <c r="Q12" s="877" t="s">
        <v>434</v>
      </c>
      <c r="R12" s="878" t="s">
        <v>435</v>
      </c>
      <c r="S12" s="872" t="s">
        <v>436</v>
      </c>
      <c r="T12" s="872"/>
      <c r="U12" s="872"/>
      <c r="V12" s="872"/>
    </row>
    <row customHeight="1" ht="15">
      <c r="A13" s="2374"/>
      <c r="B13" s="866"/>
      <c r="D13" s="867"/>
      <c r="E13" s="766"/>
      <c r="F13" s="890"/>
      <c r="G13" s="777" t="s">
        <v>101</v>
      </c>
      <c r="H13" s="765"/>
      <c r="I13" s="765"/>
      <c r="J13" s="765"/>
      <c r="K13" s="764"/>
      <c r="L13" s="2498"/>
      <c r="M13" s="870"/>
      <c r="N13" s="866"/>
      <c r="O13" s="866"/>
      <c r="P13" s="866"/>
      <c r="Q13" s="866"/>
      <c r="R13" s="866"/>
      <c r="S13" s="866"/>
      <c r="T13" s="866"/>
      <c r="U13" s="866"/>
      <c r="V13" s="866"/>
    </row>
    <row customHeight="1" ht="11.25">
      <c r="A14" s="840"/>
      <c r="B14" s="841"/>
      <c r="C14" s="841"/>
      <c r="D14" s="856"/>
      <c r="E14" s="841"/>
      <c r="F14" s="841"/>
      <c r="G14" s="841"/>
      <c r="H14" s="841"/>
      <c r="I14" s="841"/>
      <c r="J14" s="841"/>
      <c r="K14" s="841"/>
      <c r="L14" s="841"/>
      <c r="M14" s="841"/>
      <c r="N14" s="841"/>
      <c r="O14" s="841"/>
      <c r="P14" s="841"/>
      <c r="Q14" s="841"/>
      <c r="R14" s="841"/>
      <c r="S14" s="841"/>
      <c r="T14" s="841"/>
      <c r="U14" s="841"/>
      <c r="V14" s="841"/>
    </row>
    <row customHeight="1" ht="14.25">
      <c r="D15" s="827"/>
      <c r="E15" s="697"/>
      <c r="F15" s="697"/>
      <c r="G15" s="102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827"/>
      <c r="I15" s="827"/>
      <c r="J15" s="827"/>
      <c r="K15" s="827"/>
      <c r="L15" s="827"/>
    </row>
    <row r="18" customHeight="1" ht="14.25">
      <c r="G18" s="866"/>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15B5C-4A94-2462-0D71-A001B655A1E4}"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217" width="10.57421875" hidden="1"/>
    <col min="2" max="2" style="32217" width="11.00390625" hidden="1" customWidth="1"/>
    <col min="3" max="3" style="32217" width="10.57421875" hidden="1"/>
    <col min="4" max="4" style="32217" width="11.8515625" hidden="1" customWidth="1"/>
    <col min="5" max="5" style="32217" width="10.00390625" hidden="1" customWidth="1"/>
    <col min="6" max="6" style="32217" width="8.7109375" hidden="1" customWidth="1"/>
    <col min="7" max="7" style="32217" width="7.57421875" hidden="1" customWidth="1"/>
    <col min="8" max="8" style="32217" width="11.421875" hidden="1" customWidth="1"/>
    <col min="9" max="9" style="32217" width="12.00390625" hidden="1" customWidth="1"/>
    <col min="10" max="10" style="32217" width="9.8515625" hidden="1" customWidth="1"/>
    <col min="11" max="11" style="32217" width="11.421875" hidden="1" customWidth="1"/>
    <col min="12" max="12" style="32297" width="19.140625" hidden="1" customWidth="1"/>
    <col min="13" max="14" style="32298" width="12.28125" hidden="1" customWidth="1"/>
    <col min="15" max="15" style="32298" width="23.421875" hidden="1" customWidth="1"/>
    <col min="16" max="16" style="32299" width="3.7109375" customWidth="1"/>
    <col min="17" max="18" style="32300" width="3.7109375" customWidth="1"/>
    <col min="19" max="19" style="32301" width="12.7109375" customWidth="1"/>
    <col min="20" max="20" style="32302" width="35.7109375" customWidth="1"/>
    <col min="21" max="21" style="32302" width="0.140625" customWidth="1"/>
    <col min="22" max="22" style="32302" width="24.7109375" hidden="1" customWidth="1"/>
    <col min="23" max="23" style="32302" width="0.140625" hidden="1" customWidth="1"/>
    <col min="24" max="25" style="32302" width="24.7109375" hidden="1" customWidth="1"/>
    <col min="26" max="26" style="32302" width="11.7109375" hidden="1" customWidth="1"/>
    <col min="27" max="27" style="32302" width="3.7109375" hidden="1" customWidth="1"/>
    <col min="28" max="28" style="32302" width="11.7109375" hidden="1" customWidth="1"/>
    <col min="29" max="29" style="32302" width="8.57421875" hidden="1" customWidth="1"/>
    <col min="30" max="30" style="32302" width="24.7109375" customWidth="1"/>
    <col min="31" max="31" style="32302" width="0.140625" customWidth="1"/>
    <col min="32" max="33" style="32302" width="24.7109375" customWidth="1"/>
    <col min="34" max="34" style="32302" width="11.7109375" customWidth="1"/>
    <col min="35" max="35" style="32302" width="3.7109375" customWidth="1"/>
    <col min="36" max="36" style="32302" width="11.7109375" customWidth="1"/>
    <col min="37" max="37" style="32302" width="8.57421875" hidden="1" customWidth="1"/>
    <col min="38" max="38" style="32302" width="4.7109375" customWidth="1"/>
    <col min="39" max="39" style="32302" width="115.7109375" customWidth="1"/>
    <col min="40" max="41" style="32289" width="10.57421875"/>
    <col min="42" max="42" style="32289" width="11.140625" customWidth="1"/>
    <col min="43" max="44" style="32289" width="10.57421875"/>
  </cols>
  <sheetData>
    <row customHeight="1" ht="14.25" hidden="1">
      <c r="Y1" s="688"/>
      <c r="Z1" s="688"/>
      <c r="AG1" s="688"/>
      <c r="AH1" s="688"/>
    </row>
    <row customHeight="1" ht="21" hidden="1">
      <c r="A2" s="1729"/>
      <c r="B2" s="1729"/>
      <c r="C2" s="1729"/>
      <c r="D2" s="1729"/>
      <c r="E2" s="2527">
        <v>1</v>
      </c>
      <c r="F2" s="1729"/>
      <c r="G2" s="1729"/>
      <c r="H2" s="1729"/>
      <c r="I2" s="1729"/>
      <c r="J2" s="1729"/>
      <c r="K2" s="1729"/>
      <c r="L2" s="1730"/>
      <c r="M2" s="1731"/>
      <c r="N2" s="1731"/>
      <c r="O2" s="1731"/>
      <c r="P2" s="722"/>
      <c r="Q2" s="721"/>
      <c r="R2" s="716"/>
      <c r="S2" s="1675">
        <f>INDEX(PT_DIFFERENTIATION_NUM_NTAR,MATCH(A2,PT_DIFFERENTIATION_NTAR_ID,0))</f>
      </c>
      <c r="T2" s="659" t="s">
        <v>131</v>
      </c>
      <c r="U2" s="661"/>
      <c r="V2" s="2521"/>
      <c r="W2" s="2522"/>
      <c r="X2" s="2522"/>
      <c r="Y2" s="2522"/>
      <c r="Z2" s="2522"/>
      <c r="AA2" s="2522"/>
      <c r="AB2" s="2522"/>
      <c r="AC2" s="2523"/>
      <c r="AD2" s="2521">
        <f>INDEX(PT_DIFFERENTIATION_NTAR,MATCH(A2,PT_DIFFERENTIATION_NTAR_ID,0))</f>
      </c>
      <c r="AE2" s="2522"/>
      <c r="AF2" s="2522"/>
      <c r="AG2" s="2522"/>
      <c r="AH2" s="2522"/>
      <c r="AI2" s="2522"/>
      <c r="AJ2" s="2522"/>
      <c r="AK2" s="2522"/>
      <c r="AL2" s="2523"/>
      <c r="AM2" s="1623" t="s">
        <v>437</v>
      </c>
      <c r="AO2" s="861"/>
      <c r="AP2" s="861" t="str">
        <f>IF(T2="","",T2)</f>
        <v>Наименование тарифа</v>
      </c>
      <c r="AQ2" s="861"/>
      <c r="AR2" s="861"/>
    </row>
    <row customHeight="1" ht="21" hidden="1">
      <c r="A3" s="1729"/>
      <c r="B3" s="1729"/>
      <c r="C3" s="1729"/>
      <c r="D3" s="1729"/>
      <c r="E3" s="2528"/>
      <c r="F3" s="2527">
        <v>1</v>
      </c>
      <c r="G3" s="1729"/>
      <c r="H3" s="1729"/>
      <c r="I3" s="1729"/>
      <c r="J3" s="1729"/>
      <c r="K3" s="1729"/>
      <c r="L3" s="1730"/>
      <c r="M3" s="1731"/>
      <c r="N3" s="1731"/>
      <c r="O3" s="1731"/>
      <c r="P3" s="1670"/>
      <c r="Q3" s="713"/>
      <c r="R3" s="714"/>
      <c r="S3" s="1675">
        <f>INDEX(PT_DIFFERENTIATION_NUM_TER,MATCH(B3,PT_DIFFERENTIATION_TER_ID,0))</f>
      </c>
      <c r="T3" s="669" t="s">
        <v>438</v>
      </c>
      <c r="U3" s="661"/>
      <c r="V3" s="2521"/>
      <c r="W3" s="2522"/>
      <c r="X3" s="2522"/>
      <c r="Y3" s="2522"/>
      <c r="Z3" s="2522"/>
      <c r="AA3" s="2522"/>
      <c r="AB3" s="2522"/>
      <c r="AC3" s="2523"/>
      <c r="AD3" s="2521">
        <f>INDEX(PT_DIFFERENTIATION_TER,MATCH(B3,PT_DIFFERENTIATION_TER_ID,0))</f>
      </c>
      <c r="AE3" s="2522"/>
      <c r="AF3" s="2522"/>
      <c r="AG3" s="2522"/>
      <c r="AH3" s="2522"/>
      <c r="AI3" s="2522"/>
      <c r="AJ3" s="2522"/>
      <c r="AK3" s="2522"/>
      <c r="AL3" s="2523"/>
      <c r="AM3" s="1623" t="s">
        <v>439</v>
      </c>
      <c r="AO3" s="861"/>
      <c r="AP3" s="861" t="str">
        <f>IF(T3="","",T3)</f>
        <v>Территория действия тарифа</v>
      </c>
      <c r="AQ3" s="861"/>
      <c r="AR3" s="861"/>
    </row>
    <row customHeight="1" ht="23.25" hidden="1">
      <c r="A4" s="1729"/>
      <c r="B4" s="1729"/>
      <c r="C4" s="1729"/>
      <c r="D4" s="1729"/>
      <c r="E4" s="2528"/>
      <c r="F4" s="2528"/>
      <c r="G4" s="2527">
        <v>1</v>
      </c>
      <c r="H4" s="1729"/>
      <c r="I4" s="1729"/>
      <c r="J4" s="1729"/>
      <c r="K4" s="1729"/>
      <c r="L4" s="1730"/>
      <c r="M4" s="1731"/>
      <c r="N4" s="1731"/>
      <c r="O4" s="1731"/>
      <c r="P4" s="715"/>
      <c r="Q4" s="713"/>
      <c r="R4" s="714"/>
      <c r="S4" s="1675">
        <f>INDEX(PT_DIFFERENTIATION_NUM_CS,MATCH(C4,PT_DIFFERENTIATION_CS_ID,0))</f>
      </c>
      <c r="T4" s="670" t="s">
        <v>440</v>
      </c>
      <c r="U4" s="661"/>
      <c r="V4" s="2521"/>
      <c r="W4" s="2522"/>
      <c r="X4" s="2522"/>
      <c r="Y4" s="2522"/>
      <c r="Z4" s="2522"/>
      <c r="AA4" s="2522"/>
      <c r="AB4" s="2522"/>
      <c r="AC4" s="2523"/>
      <c r="AD4" s="2521">
        <f>INDEX(PT_DIFFERENTIATION_CS,MATCH(C4,PT_DIFFERENTIATION_CS_ID,0))</f>
      </c>
      <c r="AE4" s="2522"/>
      <c r="AF4" s="2522"/>
      <c r="AG4" s="2522"/>
      <c r="AH4" s="2522"/>
      <c r="AI4" s="2522"/>
      <c r="AJ4" s="2522"/>
      <c r="AK4" s="2522"/>
      <c r="AL4" s="2523"/>
      <c r="AM4" s="1623" t="s">
        <v>441</v>
      </c>
      <c r="AO4" s="861"/>
      <c r="AP4" s="861" t="str">
        <f>IF(T4="","",T4)</f>
        <v>Наименование системы теплоснабжения </v>
      </c>
      <c r="AQ4" s="861"/>
      <c r="AR4" s="861"/>
    </row>
    <row customHeight="1" ht="21" hidden="1">
      <c r="A5" s="1729"/>
      <c r="B5" s="1729"/>
      <c r="C5" s="1729"/>
      <c r="D5" s="1729"/>
      <c r="E5" s="2528"/>
      <c r="F5" s="2528"/>
      <c r="G5" s="2528"/>
      <c r="H5" s="2527">
        <v>1</v>
      </c>
      <c r="I5" s="1729"/>
      <c r="J5" s="1729"/>
      <c r="K5" s="1729"/>
      <c r="L5" s="1730"/>
      <c r="M5" s="1731"/>
      <c r="N5" s="1731"/>
      <c r="O5" s="1731"/>
      <c r="P5" s="715"/>
      <c r="Q5" s="713"/>
      <c r="R5" s="714"/>
      <c r="S5" s="1675">
        <f>INDEX(PT_DIFFERENTIATION_NUM_IST_TE,MATCH(D5,PT_DIFFERENTIATION_IST_TE_ID,0))</f>
      </c>
      <c r="T5" s="671" t="s">
        <v>442</v>
      </c>
      <c r="U5" s="661"/>
      <c r="V5" s="2521"/>
      <c r="W5" s="2522"/>
      <c r="X5" s="2522"/>
      <c r="Y5" s="2522"/>
      <c r="Z5" s="2522"/>
      <c r="AA5" s="2522"/>
      <c r="AB5" s="2522"/>
      <c r="AC5" s="2523"/>
      <c r="AD5" s="2521">
        <f>INDEX(PT_DIFFERENTIATION_IST_TE,MATCH(D5,PT_DIFFERENTIATION_IST_TE_ID,0))</f>
      </c>
      <c r="AE5" s="2522"/>
      <c r="AF5" s="2522"/>
      <c r="AG5" s="2522"/>
      <c r="AH5" s="2522"/>
      <c r="AI5" s="2522"/>
      <c r="AJ5" s="2522"/>
      <c r="AK5" s="2522"/>
      <c r="AL5" s="2523"/>
      <c r="AM5" s="1623" t="s">
        <v>443</v>
      </c>
      <c r="AO5" s="861"/>
      <c r="AP5" s="861" t="str">
        <f>IF(T5="","",T5)</f>
        <v>Источник тепловой энергии  </v>
      </c>
      <c r="AQ5" s="861"/>
      <c r="AR5" s="861"/>
    </row>
    <row customHeight="1" ht="47.25" hidden="1">
      <c r="A6" s="1729"/>
      <c r="B6" s="1729"/>
      <c r="C6" s="1729"/>
      <c r="D6" s="1729"/>
      <c r="E6" s="2528"/>
      <c r="F6" s="2528"/>
      <c r="G6" s="2528"/>
      <c r="H6" s="2528"/>
      <c r="I6" s="2529">
        <f>S5&amp;".1"</f>
      </c>
      <c r="J6" s="1729"/>
      <c r="K6" s="1729"/>
      <c r="L6" s="1730" t="s">
        <v>444</v>
      </c>
      <c r="M6" s="898"/>
      <c r="P6" s="2531">
        <v>1</v>
      </c>
      <c r="Q6" s="1671"/>
      <c r="R6" s="717"/>
      <c r="S6" s="1675">
        <f>$I6</f>
      </c>
      <c r="T6" s="646" t="s">
        <v>445</v>
      </c>
      <c r="U6" s="661"/>
      <c r="V6" s="2515"/>
      <c r="W6" s="2516"/>
      <c r="X6" s="2516"/>
      <c r="Y6" s="2516"/>
      <c r="Z6" s="2516"/>
      <c r="AA6" s="2516"/>
      <c r="AB6" s="2516"/>
      <c r="AC6" s="2517"/>
      <c r="AD6" s="2515"/>
      <c r="AE6" s="2516"/>
      <c r="AF6" s="2516"/>
      <c r="AG6" s="2516"/>
      <c r="AH6" s="2516"/>
      <c r="AI6" s="2516"/>
      <c r="AJ6" s="2516"/>
      <c r="AK6" s="2516"/>
      <c r="AL6" s="2517"/>
      <c r="AM6" s="1623" t="s">
        <v>446</v>
      </c>
      <c r="AO6" s="861"/>
      <c r="AP6" s="861" t="str">
        <f>IF(T6="","",T6)</f>
        <v>Схема подключения теплопотребляющей установки к коллектору источника тепловой энергии</v>
      </c>
      <c r="AQ6" s="861"/>
      <c r="AR6" s="861"/>
    </row>
    <row customHeight="1" ht="21" hidden="1">
      <c r="A7" s="1729"/>
      <c r="B7" s="1729"/>
      <c r="C7" s="1729"/>
      <c r="D7" s="1729"/>
      <c r="E7" s="2528"/>
      <c r="F7" s="2528"/>
      <c r="G7" s="2528"/>
      <c r="H7" s="2528"/>
      <c r="I7" s="2530"/>
      <c r="J7" s="2529">
        <f>I6&amp;".1"</f>
      </c>
      <c r="K7" s="1729"/>
      <c r="L7" s="1730" t="s">
        <v>447</v>
      </c>
      <c r="M7" s="898"/>
      <c r="N7" s="1732"/>
      <c r="P7" s="2531"/>
      <c r="Q7" s="2531">
        <v>1</v>
      </c>
      <c r="R7" s="718"/>
      <c r="S7" s="1675">
        <f>$J7</f>
      </c>
      <c r="T7" s="647" t="s">
        <v>448</v>
      </c>
      <c r="U7" s="661"/>
      <c r="V7" s="2515"/>
      <c r="W7" s="2516"/>
      <c r="X7" s="2516"/>
      <c r="Y7" s="2516"/>
      <c r="Z7" s="2516"/>
      <c r="AA7" s="2516"/>
      <c r="AB7" s="2516"/>
      <c r="AC7" s="2517"/>
      <c r="AD7" s="2515"/>
      <c r="AE7" s="2516"/>
      <c r="AF7" s="2516"/>
      <c r="AG7" s="2516"/>
      <c r="AH7" s="2516"/>
      <c r="AI7" s="2516"/>
      <c r="AJ7" s="2516"/>
      <c r="AK7" s="2516"/>
      <c r="AL7" s="2517"/>
      <c r="AM7" s="1623" t="s">
        <v>449</v>
      </c>
      <c r="AO7" s="861"/>
      <c r="AP7" s="861" t="str">
        <f>IF(T7="","",T7)</f>
        <v>Группа потребителей</v>
      </c>
      <c r="AQ7" s="861"/>
      <c r="AR7" s="861"/>
    </row>
    <row customHeight="1" ht="21" hidden="1">
      <c r="A8" s="1729"/>
      <c r="B8" s="1729"/>
      <c r="C8" s="1729"/>
      <c r="D8" s="1729"/>
      <c r="E8" s="2528"/>
      <c r="F8" s="2528"/>
      <c r="G8" s="2528"/>
      <c r="H8" s="2528"/>
      <c r="I8" s="2530"/>
      <c r="J8" s="2530"/>
      <c r="K8" s="2529">
        <f>J7&amp;".1"</f>
      </c>
      <c r="L8" s="1730" t="s">
        <v>450</v>
      </c>
      <c r="M8" s="898"/>
      <c r="N8" s="1732"/>
      <c r="O8" s="1732"/>
      <c r="P8" s="2531"/>
      <c r="Q8" s="2531"/>
      <c r="R8" s="718">
        <v>1</v>
      </c>
      <c r="S8" s="1675">
        <f>$K8</f>
      </c>
      <c r="T8" s="1713"/>
      <c r="U8" s="661"/>
      <c r="V8" s="1112"/>
      <c r="W8" s="686"/>
      <c r="X8" s="1112"/>
      <c r="Y8" s="1622"/>
      <c r="Z8" s="2532"/>
      <c r="AA8" s="2402" t="s">
        <v>66</v>
      </c>
      <c r="AB8" s="2532"/>
      <c r="AC8" s="2402" t="s">
        <v>66</v>
      </c>
      <c r="AD8" s="1112"/>
      <c r="AE8" s="686"/>
      <c r="AF8" s="1112"/>
      <c r="AG8" s="1622"/>
      <c r="AH8" s="2532"/>
      <c r="AI8" s="2402" t="s">
        <v>66</v>
      </c>
      <c r="AJ8" s="2532"/>
      <c r="AK8" s="2402" t="s">
        <v>66</v>
      </c>
      <c r="AL8" s="686"/>
      <c r="AM8" s="2557" t="s">
        <v>451</v>
      </c>
      <c r="AN8" s="872">
        <f>STRCHECKDATE(V9:AL9)</f>
      </c>
      <c r="AO8" s="861"/>
      <c r="AP8" s="861" t="str">
        <f>IF(T8="","",T8)</f>
        <v/>
      </c>
      <c r="AQ8" s="861"/>
      <c r="AR8" s="861"/>
    </row>
    <row customHeight="1" ht="0.75" hidden="1">
      <c r="A9" s="1729"/>
      <c r="B9" s="1729"/>
      <c r="C9" s="1729"/>
      <c r="D9" s="1729"/>
      <c r="E9" s="2528"/>
      <c r="F9" s="2528"/>
      <c r="G9" s="2528"/>
      <c r="H9" s="2528"/>
      <c r="I9" s="2530"/>
      <c r="J9" s="2530"/>
      <c r="K9" s="2529"/>
      <c r="L9" s="1730"/>
      <c r="M9" s="898"/>
      <c r="N9" s="1732"/>
      <c r="O9" s="1732"/>
      <c r="P9" s="2531"/>
      <c r="Q9" s="2531"/>
      <c r="R9" s="718"/>
      <c r="S9" s="1672"/>
      <c r="T9" s="661"/>
      <c r="U9" s="661"/>
      <c r="V9" s="686"/>
      <c r="W9" s="686"/>
      <c r="X9" s="686"/>
      <c r="Y9" s="689" t="str">
        <f>Z8&amp;"-"&amp;AB8</f>
        <v>-</v>
      </c>
      <c r="Z9" s="2533"/>
      <c r="AA9" s="2402"/>
      <c r="AB9" s="2533"/>
      <c r="AC9" s="2402"/>
      <c r="AD9" s="686"/>
      <c r="AE9" s="686"/>
      <c r="AF9" s="686"/>
      <c r="AG9" s="689" t="str">
        <f>AH8&amp;"-"&amp;AJ8</f>
        <v>-</v>
      </c>
      <c r="AH9" s="2533"/>
      <c r="AI9" s="2402"/>
      <c r="AJ9" s="2533"/>
      <c r="AK9" s="2402"/>
      <c r="AL9" s="686"/>
      <c r="AM9" s="2558"/>
      <c r="AO9" s="861"/>
      <c r="AP9" s="861" t="str">
        <f>IF(T9="","",T9)</f>
        <v/>
      </c>
      <c r="AQ9" s="861"/>
      <c r="AR9" s="861"/>
    </row>
    <row customHeight="1" ht="15" hidden="1">
      <c r="A10" s="1729"/>
      <c r="B10" s="1729"/>
      <c r="C10" s="1729"/>
      <c r="D10" s="1729"/>
      <c r="E10" s="2528"/>
      <c r="F10" s="2528"/>
      <c r="G10" s="2528"/>
      <c r="H10" s="2528"/>
      <c r="I10" s="2530"/>
      <c r="J10" s="2529"/>
      <c r="K10" s="1729"/>
      <c r="L10" s="1730"/>
      <c r="M10" s="898"/>
      <c r="N10" s="1732"/>
      <c r="P10" s="2531"/>
      <c r="Q10" s="2531"/>
      <c r="R10" s="717"/>
      <c r="S10" s="1644"/>
      <c r="T10" s="649" t="s">
        <v>452</v>
      </c>
      <c r="U10" s="728"/>
      <c r="V10" s="728"/>
      <c r="W10" s="728"/>
      <c r="X10" s="728"/>
      <c r="Y10" s="728"/>
      <c r="Z10" s="728"/>
      <c r="AA10" s="728"/>
      <c r="AB10" s="728"/>
      <c r="AC10" s="728"/>
      <c r="AD10" s="728"/>
      <c r="AE10" s="728"/>
      <c r="AF10" s="728"/>
      <c r="AG10" s="728"/>
      <c r="AH10" s="728"/>
      <c r="AI10" s="728"/>
      <c r="AJ10" s="728"/>
      <c r="AK10" s="728"/>
      <c r="AL10" s="685"/>
      <c r="AM10" s="2559"/>
      <c r="AO10" s="861"/>
      <c r="AP10" s="861" t="str">
        <f>IF(T10="","",T10)</f>
        <v>Добавить вид теплоносителя (параметры теплоносителя)</v>
      </c>
      <c r="AQ10" s="861"/>
      <c r="AR10" s="861"/>
    </row>
    <row customHeight="1" ht="15" hidden="1">
      <c r="A11" s="1729"/>
      <c r="B11" s="1729"/>
      <c r="C11" s="1729"/>
      <c r="D11" s="1729"/>
      <c r="E11" s="2528"/>
      <c r="F11" s="2528"/>
      <c r="G11" s="2528"/>
      <c r="H11" s="2528"/>
      <c r="I11" s="2529"/>
      <c r="J11" s="1729"/>
      <c r="K11" s="1729"/>
      <c r="L11" s="1730"/>
      <c r="M11" s="898"/>
      <c r="P11" s="2531"/>
      <c r="Q11" s="1671"/>
      <c r="R11" s="717"/>
      <c r="S11" s="1644"/>
      <c r="T11" s="648" t="s">
        <v>453</v>
      </c>
      <c r="U11" s="728"/>
      <c r="V11" s="728"/>
      <c r="W11" s="728"/>
      <c r="X11" s="728"/>
      <c r="Y11" s="728"/>
      <c r="Z11" s="728"/>
      <c r="AA11" s="728"/>
      <c r="AB11" s="728"/>
      <c r="AC11" s="727"/>
      <c r="AD11" s="728"/>
      <c r="AE11" s="728"/>
      <c r="AF11" s="728"/>
      <c r="AG11" s="728"/>
      <c r="AH11" s="728"/>
      <c r="AI11" s="728"/>
      <c r="AJ11" s="728"/>
      <c r="AK11" s="727"/>
      <c r="AL11" s="728"/>
      <c r="AM11" s="664"/>
      <c r="AO11" s="861"/>
      <c r="AP11" s="861" t="str">
        <f>IF(T11="","",T11)</f>
        <v>Добавить группу потребителей</v>
      </c>
      <c r="AQ11" s="861"/>
      <c r="AR11" s="861"/>
    </row>
    <row customHeight="1" ht="14.25" hidden="1">
      <c r="A12" s="1729"/>
      <c r="B12" s="1729"/>
      <c r="C12" s="1729"/>
      <c r="D12" s="1729"/>
      <c r="E12" s="2528"/>
      <c r="F12" s="2528"/>
      <c r="G12" s="2528"/>
      <c r="H12" s="2527"/>
      <c r="I12" s="1729"/>
      <c r="J12" s="1729"/>
      <c r="K12" s="1729"/>
      <c r="L12" s="1730"/>
      <c r="M12" s="1731"/>
      <c r="N12" s="1731"/>
      <c r="O12" s="898"/>
      <c r="P12" s="721"/>
      <c r="Q12" s="736"/>
      <c r="R12" s="716"/>
      <c r="S12" s="1644"/>
      <c r="T12" s="726" t="s">
        <v>454</v>
      </c>
      <c r="U12" s="728"/>
      <c r="V12" s="728"/>
      <c r="W12" s="728"/>
      <c r="X12" s="728"/>
      <c r="Y12" s="728"/>
      <c r="Z12" s="728"/>
      <c r="AA12" s="728"/>
      <c r="AB12" s="728"/>
      <c r="AC12" s="727"/>
      <c r="AD12" s="728"/>
      <c r="AE12" s="728"/>
      <c r="AF12" s="728"/>
      <c r="AG12" s="728"/>
      <c r="AH12" s="728"/>
      <c r="AI12" s="728"/>
      <c r="AJ12" s="728"/>
      <c r="AK12" s="727"/>
      <c r="AL12" s="728"/>
      <c r="AM12" s="664"/>
      <c r="AO12" s="861"/>
      <c r="AP12" s="861" t="str">
        <f>IF(T12="","",T12)</f>
        <v>Добавить схему подключения</v>
      </c>
      <c r="AQ12" s="861"/>
      <c r="AR12" s="861"/>
    </row>
    <row s="32198" customFormat="1" customHeight="1" ht="0.75" hidden="1">
      <c r="A13" s="1680"/>
      <c r="B13" s="1680"/>
      <c r="C13" s="1680"/>
      <c r="D13" s="1680"/>
      <c r="E13" s="2528"/>
      <c r="F13" s="2528"/>
      <c r="G13" s="2527"/>
      <c r="H13" s="1680"/>
      <c r="I13" s="1680"/>
      <c r="J13" s="1680"/>
      <c r="K13" s="1680"/>
      <c r="L13" s="1705"/>
      <c r="M13" s="1681"/>
      <c r="N13" s="1681"/>
      <c r="P13" s="1682"/>
      <c r="Q13" s="1683"/>
      <c r="R13" s="1682"/>
      <c r="S13" s="1684"/>
      <c r="T13" s="1685" t="s">
        <v>455</v>
      </c>
      <c r="U13" s="1686"/>
      <c r="V13" s="1686"/>
      <c r="W13" s="1686"/>
      <c r="X13" s="1686"/>
      <c r="Y13" s="1686"/>
      <c r="Z13" s="1686"/>
      <c r="AA13" s="1686"/>
      <c r="AB13" s="1686"/>
      <c r="AC13" s="1686"/>
      <c r="AD13" s="1686"/>
      <c r="AE13" s="1686"/>
      <c r="AF13" s="1686"/>
      <c r="AG13" s="1686"/>
      <c r="AH13" s="1686"/>
      <c r="AI13" s="1686"/>
      <c r="AJ13" s="1686"/>
      <c r="AK13" s="1686"/>
      <c r="AL13" s="1686"/>
      <c r="AM13" s="1686"/>
      <c r="AO13" s="1150"/>
      <c r="AP13" s="1150" t="str">
        <f>IF(T13="","",T13)</f>
        <v>Добавить источник для дифференциации</v>
      </c>
      <c r="AQ13" s="1150"/>
      <c r="AR13" s="1150"/>
    </row>
    <row s="32198" customFormat="1" customHeight="1" ht="0.75" hidden="1">
      <c r="A14" s="1680"/>
      <c r="B14" s="1680"/>
      <c r="C14" s="1680"/>
      <c r="D14" s="1680"/>
      <c r="E14" s="2528"/>
      <c r="F14" s="2527"/>
      <c r="G14" s="1680"/>
      <c r="H14" s="1680"/>
      <c r="I14" s="1680"/>
      <c r="J14" s="1680"/>
      <c r="K14" s="1680"/>
      <c r="L14" s="1705"/>
      <c r="M14" s="1687"/>
      <c r="N14" s="1687"/>
      <c r="P14" s="1682"/>
      <c r="Q14" s="1683"/>
      <c r="R14" s="1682"/>
      <c r="S14" s="1688"/>
      <c r="T14" s="1689" t="s">
        <v>262</v>
      </c>
      <c r="U14" s="1690"/>
      <c r="V14" s="1690"/>
      <c r="W14" s="1690"/>
      <c r="X14" s="1690"/>
      <c r="Y14" s="1690"/>
      <c r="Z14" s="1690"/>
      <c r="AA14" s="1690"/>
      <c r="AB14" s="1690"/>
      <c r="AC14" s="1690"/>
      <c r="AD14" s="1690"/>
      <c r="AE14" s="1690"/>
      <c r="AF14" s="1690"/>
      <c r="AG14" s="1690"/>
      <c r="AH14" s="1690"/>
      <c r="AI14" s="1690"/>
      <c r="AJ14" s="1690"/>
      <c r="AK14" s="1690"/>
      <c r="AL14" s="1690"/>
      <c r="AM14" s="1690"/>
      <c r="AO14" s="1150"/>
      <c r="AP14" s="1150" t="str">
        <f>IF(T14="","",T14)</f>
        <v>Добавить централизованную систему для дифференциации</v>
      </c>
      <c r="AQ14" s="1150"/>
      <c r="AR14" s="1150"/>
    </row>
    <row s="32198" customFormat="1" customHeight="1" ht="0.75" hidden="1">
      <c r="A15" s="1680"/>
      <c r="B15" s="1680"/>
      <c r="C15" s="1680"/>
      <c r="D15" s="1680"/>
      <c r="E15" s="2527"/>
      <c r="F15" s="1680"/>
      <c r="G15" s="1680"/>
      <c r="H15" s="1680"/>
      <c r="I15" s="1680"/>
      <c r="J15" s="1680"/>
      <c r="K15" s="1680"/>
      <c r="L15" s="1705"/>
      <c r="M15" s="1687"/>
      <c r="N15" s="1687"/>
      <c r="P15" s="1682"/>
      <c r="Q15" s="1683"/>
      <c r="R15" s="1682"/>
      <c r="S15" s="1688"/>
      <c r="T15" s="1691" t="s">
        <v>270</v>
      </c>
      <c r="U15" s="1690"/>
      <c r="V15" s="1690"/>
      <c r="W15" s="1690"/>
      <c r="X15" s="1690"/>
      <c r="Y15" s="1690"/>
      <c r="Z15" s="1690"/>
      <c r="AA15" s="1690"/>
      <c r="AB15" s="1690"/>
      <c r="AC15" s="1690"/>
      <c r="AD15" s="1690"/>
      <c r="AE15" s="1690"/>
      <c r="AF15" s="1690"/>
      <c r="AG15" s="1690"/>
      <c r="AH15" s="1690"/>
      <c r="AI15" s="1690"/>
      <c r="AJ15" s="1690"/>
      <c r="AK15" s="1690"/>
      <c r="AL15" s="1690"/>
      <c r="AM15" s="1690"/>
      <c r="AO15" s="1150"/>
      <c r="AP15" s="1150" t="str">
        <f>IF(T15="","",T15)</f>
        <v>Добавить территорию для дифференциации</v>
      </c>
      <c r="AQ15" s="1150"/>
      <c r="AR15" s="1150"/>
    </row>
    <row customHeight="1" ht="14.25" hidden="1">
      <c r="AC16" s="688"/>
      <c r="AK16" s="688"/>
    </row>
    <row customHeight="1" ht="14.25" hidden="1">
      <c r="P17" s="1677"/>
      <c r="AD17" s="1726"/>
      <c r="AE17" s="1726"/>
      <c r="AF17" s="1726"/>
      <c r="AG17" s="1727"/>
      <c r="AH17" s="2525"/>
      <c r="AI17" s="2524" t="s">
        <v>66</v>
      </c>
      <c r="AJ17" s="2525"/>
      <c r="AK17" s="2524" t="s">
        <v>66</v>
      </c>
    </row>
    <row customHeight="1" ht="14.25" hidden="1">
      <c r="P18" s="1677"/>
      <c r="AD18" s="1726"/>
      <c r="AE18" s="1726"/>
      <c r="AF18" s="1726"/>
      <c r="AG18" s="689" t="str">
        <f>AH17&amp;"-"&amp;AJ17</f>
        <v>-</v>
      </c>
      <c r="AH18" s="2524"/>
      <c r="AI18" s="2524"/>
      <c r="AJ18" s="2524"/>
      <c r="AK18" s="2524"/>
    </row>
    <row customHeight="1" ht="14.25" hidden="1">
      <c r="P19" s="1677"/>
      <c r="AK19" s="688"/>
    </row>
    <row s="32217" customFormat="1" customHeight="1" ht="22.5" hidden="1">
      <c r="L20" s="1695"/>
      <c r="M20" s="1728"/>
      <c r="N20" s="1728"/>
      <c r="O20" s="1733" t="s">
        <v>456</v>
      </c>
      <c r="P20" s="1728"/>
      <c r="Q20" s="1737"/>
      <c r="R20" s="1737"/>
      <c r="S20" s="1090"/>
      <c r="Z20" s="1733"/>
      <c r="AB20" s="1733"/>
      <c r="AC20" s="1732"/>
      <c r="AH20" s="1733"/>
      <c r="AJ20" s="1733"/>
      <c r="AK20" s="1732"/>
      <c r="AN20" s="872"/>
      <c r="AO20" s="872"/>
      <c r="AP20" s="872"/>
      <c r="AQ20" s="872"/>
      <c r="AR20" s="872"/>
    </row>
    <row s="32217" customFormat="1" customHeight="1" ht="14.25" hidden="1">
      <c r="L21" s="1695"/>
      <c r="M21" s="1728"/>
      <c r="N21" s="1728"/>
      <c r="O21" s="1728"/>
      <c r="P21" s="1728"/>
      <c r="Q21" s="1737"/>
      <c r="R21" s="1737"/>
      <c r="S21" s="1090"/>
      <c r="AC21" s="1732"/>
      <c r="AK21" s="1732"/>
      <c r="AN21" s="872"/>
      <c r="AO21" s="872"/>
      <c r="AP21" s="872"/>
      <c r="AQ21" s="872"/>
      <c r="AR21" s="872"/>
    </row>
    <row s="32217" customFormat="1" customHeight="1" ht="14.25" hidden="1">
      <c r="L22" s="1695"/>
      <c r="M22" s="1728"/>
      <c r="N22" s="1728"/>
      <c r="O22" s="1730" t="s">
        <v>457</v>
      </c>
      <c r="P22" s="1728"/>
      <c r="Q22" s="1737"/>
      <c r="R22" s="1737"/>
      <c r="S22" s="1090"/>
      <c r="T22" s="1523" t="s">
        <v>458</v>
      </c>
      <c r="AA22" s="547" t="s">
        <v>459</v>
      </c>
      <c r="AC22" s="547" t="s">
        <v>460</v>
      </c>
      <c r="AD22" s="1523" t="s">
        <v>458</v>
      </c>
      <c r="AI22" s="547" t="s">
        <v>461</v>
      </c>
      <c r="AK22" s="547" t="s">
        <v>460</v>
      </c>
      <c r="AN22" s="872"/>
      <c r="AO22" s="872"/>
      <c r="AP22" s="872"/>
      <c r="AQ22" s="872"/>
      <c r="AR22" s="872"/>
    </row>
    <row customHeight="1" ht="14.25" hidden="1">
      <c r="O23" s="1730"/>
      <c r="P23" s="1677"/>
    </row>
    <row customHeight="1" ht="14.25" hidden="1">
      <c r="O24" s="1730"/>
      <c r="P24" s="1677"/>
    </row>
    <row customHeight="1" ht="14.25">
      <c r="Q25" s="737"/>
      <c r="R25" s="737"/>
      <c r="S25" s="1641"/>
      <c r="T25" s="724"/>
      <c r="U25" s="724"/>
      <c r="V25" s="870"/>
      <c r="W25" s="870"/>
      <c r="X25" s="870"/>
      <c r="Y25" s="870"/>
      <c r="Z25" s="870"/>
      <c r="AA25" s="870"/>
      <c r="AB25" s="870"/>
      <c r="AC25" s="870"/>
      <c r="AD25" s="870"/>
      <c r="AE25" s="870"/>
      <c r="AF25" s="870"/>
      <c r="AG25" s="870"/>
      <c r="AH25" s="870"/>
      <c r="AI25" s="870"/>
      <c r="AJ25" s="870"/>
      <c r="AK25" s="870"/>
    </row>
    <row customHeight="1" ht="14.25">
      <c r="Q26" s="737"/>
      <c r="R26" s="737"/>
      <c r="S26" s="256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60"/>
      <c r="U26" s="2560"/>
      <c r="V26" s="2560"/>
      <c r="W26" s="2560"/>
      <c r="X26" s="2560"/>
      <c r="Y26" s="2560"/>
      <c r="Z26" s="2560"/>
      <c r="AA26" s="2560"/>
      <c r="AB26" s="2560"/>
      <c r="AC26" s="2560"/>
      <c r="AD26" s="2560"/>
      <c r="AE26" s="2560"/>
      <c r="AF26" s="2560"/>
      <c r="AG26" s="2560"/>
      <c r="AH26" s="2560"/>
      <c r="AI26" s="2560"/>
      <c r="AJ26" s="2560"/>
      <c r="AK26" s="1608"/>
    </row>
    <row customHeight="1" ht="14.25">
      <c r="Q27" s="737"/>
      <c r="R27" s="737"/>
      <c r="S27" s="2561" t="str">
        <f>IF(org=0,"Не определено",org)</f>
        <v>АО "Мурманэнергосбыт"</v>
      </c>
      <c r="T27" s="2561"/>
      <c r="U27" s="2561"/>
      <c r="V27" s="2561"/>
      <c r="W27" s="2561"/>
      <c r="X27" s="2561"/>
      <c r="Y27" s="2561"/>
      <c r="Z27" s="2561"/>
      <c r="AA27" s="2561"/>
      <c r="AB27" s="2561"/>
      <c r="AC27" s="2561"/>
      <c r="AD27" s="2561"/>
      <c r="AE27" s="2561"/>
      <c r="AF27" s="2561"/>
      <c r="AG27" s="2561"/>
      <c r="AH27" s="2561"/>
      <c r="AI27" s="2561"/>
      <c r="AJ27" s="2561"/>
      <c r="AK27" s="1608"/>
    </row>
    <row customHeight="1" ht="14.25">
      <c r="Q28" s="737"/>
      <c r="R28" s="737"/>
      <c r="S28" s="1641"/>
      <c r="T28" s="724"/>
      <c r="U28" s="724"/>
      <c r="V28" s="683"/>
      <c r="W28" s="683"/>
      <c r="X28" s="683"/>
      <c r="Y28" s="683"/>
      <c r="Z28" s="683"/>
      <c r="AA28" s="683"/>
      <c r="AB28" s="683"/>
      <c r="AC28" s="683"/>
      <c r="AD28" s="683"/>
      <c r="AE28" s="683"/>
      <c r="AF28" s="683"/>
      <c r="AG28" s="683"/>
      <c r="AH28" s="683"/>
      <c r="AI28" s="683"/>
      <c r="AJ28" s="683"/>
      <c r="AK28" s="683"/>
      <c r="AL28" s="870"/>
    </row>
    <row s="32230" customFormat="1" customHeight="1" ht="25.5">
      <c r="A29" s="1734"/>
      <c r="B29" s="1734"/>
      <c r="C29" s="1734"/>
      <c r="D29" s="1734"/>
      <c r="E29" s="1734"/>
      <c r="F29" s="1734"/>
      <c r="G29" s="1734"/>
      <c r="H29" s="1734"/>
      <c r="I29" s="1734"/>
      <c r="J29" s="1734"/>
      <c r="K29" s="1734"/>
      <c r="L29" s="1735"/>
      <c r="M29" s="1734"/>
      <c r="N29" s="1734"/>
      <c r="O29" s="1734"/>
      <c r="S29" s="2518" t="s">
        <v>38</v>
      </c>
      <c r="T29" s="2518"/>
      <c r="U29" s="1738"/>
      <c r="V29" s="2520" t="str">
        <f>IF(TITLE_NAME_OR_PR_CHANGE="",IF(TITLE_NAME_OR_PR="","",TITLE_NAME_OR_PR),TITLE_NAME_OR_PR_CHANGE)</f>
        <v>Комитет по тарифному регулированию Мурманской области</v>
      </c>
      <c r="W29" s="2520"/>
      <c r="X29" s="2520"/>
      <c r="Y29" s="2520"/>
      <c r="Z29" s="2520"/>
      <c r="AA29" s="2520"/>
      <c r="AB29" s="2520"/>
      <c r="AC29" s="687"/>
      <c r="AD29" s="2520" t="str">
        <f>IF(TITLE_NAME_OR_PR_CHANGE="",IF(TITLE_NAME_OR_PR="","",TITLE_NAME_OR_PR),TITLE_NAME_OR_PR_CHANGE)</f>
        <v>Комитет по тарифному регулированию Мурманской области</v>
      </c>
      <c r="AE29" s="2520"/>
      <c r="AF29" s="2520"/>
      <c r="AG29" s="2520"/>
      <c r="AH29" s="2520"/>
      <c r="AI29" s="2520"/>
      <c r="AJ29" s="2520"/>
      <c r="AK29" s="687"/>
      <c r="AL29" s="687"/>
      <c r="AM29" s="641"/>
      <c r="AN29" s="729"/>
      <c r="AO29" s="729"/>
      <c r="AP29" s="729"/>
      <c r="AQ29" s="729"/>
      <c r="AR29" s="729"/>
    </row>
    <row s="32230" customFormat="1" customHeight="1" ht="18.75">
      <c r="A30" s="1734"/>
      <c r="B30" s="1734"/>
      <c r="C30" s="1734"/>
      <c r="D30" s="1734"/>
      <c r="E30" s="1734"/>
      <c r="F30" s="1734"/>
      <c r="G30" s="1734"/>
      <c r="H30" s="1734"/>
      <c r="I30" s="1734"/>
      <c r="J30" s="1734"/>
      <c r="K30" s="1734"/>
      <c r="L30" s="1735"/>
      <c r="M30" s="1734"/>
      <c r="N30" s="1734"/>
      <c r="O30" s="1734"/>
      <c r="S30" s="2518" t="s">
        <v>462</v>
      </c>
      <c r="T30" s="2518"/>
      <c r="U30" s="1738"/>
      <c r="V30" s="2519" t="str">
        <f>IF(TITLE_DATE_PR_CHANGE="",IF(TITLE_DATE_PR="","",TITLE_DATE_PR),TITLE_DATE_PR_CHANGE)</f>
        <v>45280</v>
      </c>
      <c r="W30" s="2519"/>
      <c r="X30" s="2519"/>
      <c r="Y30" s="2519"/>
      <c r="Z30" s="2519"/>
      <c r="AA30" s="2519"/>
      <c r="AB30" s="2519"/>
      <c r="AC30" s="687"/>
      <c r="AD30" s="2519" t="str">
        <f>IF(TITLE_DATE_PR_CHANGE="",IF(TITLE_DATE_PR="","",TITLE_DATE_PR),TITLE_DATE_PR_CHANGE)</f>
        <v>45280</v>
      </c>
      <c r="AE30" s="2519"/>
      <c r="AF30" s="2519"/>
      <c r="AG30" s="2519"/>
      <c r="AH30" s="2519"/>
      <c r="AI30" s="2519"/>
      <c r="AJ30" s="2519"/>
      <c r="AK30" s="687"/>
      <c r="AL30" s="687"/>
      <c r="AM30" s="641"/>
      <c r="AN30" s="729"/>
      <c r="AO30" s="729"/>
      <c r="AP30" s="729"/>
      <c r="AQ30" s="729"/>
      <c r="AR30" s="729"/>
    </row>
    <row s="32230" customFormat="1" customHeight="1" ht="18.75">
      <c r="A31" s="1734"/>
      <c r="B31" s="1734"/>
      <c r="C31" s="1734"/>
      <c r="D31" s="1734"/>
      <c r="E31" s="1734"/>
      <c r="F31" s="1734"/>
      <c r="G31" s="1734"/>
      <c r="H31" s="1734"/>
      <c r="I31" s="1734"/>
      <c r="J31" s="1734"/>
      <c r="K31" s="1734"/>
      <c r="L31" s="1735"/>
      <c r="M31" s="1734"/>
      <c r="N31" s="1734"/>
      <c r="O31" s="1734"/>
      <c r="S31" s="2518" t="s">
        <v>463</v>
      </c>
      <c r="T31" s="2518"/>
      <c r="U31" s="1738"/>
      <c r="V31" s="2520" t="str">
        <f>IF(TITLE_NUMBER_PR_CHANGE="",IF(TITLE_NUMBER_PR="","",TITLE_NUMBER_PR),TITLE_NUMBER_PR_CHANGE)</f>
        <v>51/16</v>
      </c>
      <c r="W31" s="2520"/>
      <c r="X31" s="2520"/>
      <c r="Y31" s="2520"/>
      <c r="Z31" s="2520"/>
      <c r="AA31" s="2520"/>
      <c r="AB31" s="2520"/>
      <c r="AC31" s="687"/>
      <c r="AD31" s="2520" t="str">
        <f>IF(TITLE_NUMBER_PR_CHANGE="",IF(TITLE_NUMBER_PR="","",TITLE_NUMBER_PR),TITLE_NUMBER_PR_CHANGE)</f>
        <v>51/16</v>
      </c>
      <c r="AE31" s="2520"/>
      <c r="AF31" s="2520"/>
      <c r="AG31" s="2520"/>
      <c r="AH31" s="2520"/>
      <c r="AI31" s="2520"/>
      <c r="AJ31" s="2520"/>
      <c r="AK31" s="687"/>
      <c r="AL31" s="687"/>
      <c r="AM31" s="641"/>
      <c r="AN31" s="729"/>
      <c r="AO31" s="729"/>
      <c r="AP31" s="729"/>
      <c r="AQ31" s="729"/>
      <c r="AR31" s="729"/>
    </row>
    <row s="32230" customFormat="1" customHeight="1" ht="18.75">
      <c r="A32" s="1734"/>
      <c r="B32" s="1734"/>
      <c r="C32" s="1734"/>
      <c r="D32" s="1734"/>
      <c r="E32" s="1734"/>
      <c r="F32" s="1734"/>
      <c r="G32" s="1734"/>
      <c r="H32" s="1734"/>
      <c r="I32" s="1734"/>
      <c r="J32" s="1734"/>
      <c r="K32" s="1734"/>
      <c r="L32" s="1735"/>
      <c r="M32" s="1734"/>
      <c r="N32" s="1734"/>
      <c r="O32" s="1734"/>
      <c r="S32" s="2518" t="s">
        <v>40</v>
      </c>
      <c r="T32" s="2518"/>
      <c r="U32" s="1738"/>
      <c r="V32" s="2520" t="str">
        <f>IF(TITLE_IST_PUB_CHANGE="",IF(TITLE_IST_PUB="","",TITLE_IST_PUB),TITLE_IST_PUB_CHANGE)</f>
        <v>https://npa.gov-murman.ru/bitrix/components/b1team/govmurman.element.file/download.php?ID=508455&amp;FID=750728</v>
      </c>
      <c r="W32" s="2520"/>
      <c r="X32" s="2520"/>
      <c r="Y32" s="2520"/>
      <c r="Z32" s="2520"/>
      <c r="AA32" s="2520"/>
      <c r="AB32" s="2520"/>
      <c r="AC32" s="687"/>
      <c r="AD32" s="2520" t="str">
        <f>IF(TITLE_IST_PUB_CHANGE="",IF(TITLE_IST_PUB="","",TITLE_IST_PUB),TITLE_IST_PUB_CHANGE)</f>
        <v>https://npa.gov-murman.ru/bitrix/components/b1team/govmurman.element.file/download.php?ID=508455&amp;FID=750728</v>
      </c>
      <c r="AE32" s="2520"/>
      <c r="AF32" s="2520"/>
      <c r="AG32" s="2520"/>
      <c r="AH32" s="2520"/>
      <c r="AI32" s="2520"/>
      <c r="AJ32" s="2520"/>
      <c r="AK32" s="687"/>
      <c r="AL32" s="687"/>
      <c r="AM32" s="641"/>
      <c r="AN32" s="729"/>
      <c r="AO32" s="729"/>
      <c r="AP32" s="729"/>
      <c r="AQ32" s="729"/>
      <c r="AR32" s="729"/>
    </row>
    <row customHeight="1" ht="14.25" hidden="1">
      <c r="P33" s="1694"/>
      <c r="Q33" s="737"/>
      <c r="R33" s="737"/>
      <c r="S33" s="1641"/>
      <c r="T33" s="724"/>
      <c r="U33" s="724"/>
      <c r="V33" s="683"/>
      <c r="W33" s="683"/>
      <c r="X33" s="683"/>
      <c r="Y33" s="683"/>
      <c r="Z33" s="683"/>
      <c r="AA33" s="683"/>
      <c r="AB33" s="683"/>
      <c r="AC33" s="683"/>
      <c r="AD33" s="683"/>
      <c r="AE33" s="683"/>
      <c r="AF33" s="683"/>
      <c r="AG33" s="683"/>
      <c r="AH33" s="683"/>
      <c r="AI33" s="683"/>
      <c r="AJ33" s="683"/>
      <c r="AK33" s="683"/>
      <c r="AL33" s="870"/>
    </row>
    <row s="32230" customFormat="1" customHeight="1" ht="18.75" hidden="1">
      <c r="A34" s="1734"/>
      <c r="B34" s="1734"/>
      <c r="C34" s="1734"/>
      <c r="D34" s="1734"/>
      <c r="E34" s="1734"/>
      <c r="F34" s="1734"/>
      <c r="G34" s="1734"/>
      <c r="H34" s="1734"/>
      <c r="I34" s="1734"/>
      <c r="J34" s="1734"/>
      <c r="K34" s="1734"/>
      <c r="L34" s="1735"/>
      <c r="M34" s="1734"/>
      <c r="N34" s="1734"/>
      <c r="O34" s="1734"/>
      <c r="S34" s="2518" t="s">
        <v>464</v>
      </c>
      <c r="T34" s="2518"/>
      <c r="U34" s="1738"/>
      <c r="V34" s="2519" t="str">
        <f>IF(TITLE_DATE_PR_CHANGE="",IF(TITLE_DATE_PR="","",TITLE_DATE_PR),TITLE_DATE_PR_CHANGE)</f>
        <v>45280</v>
      </c>
      <c r="W34" s="2519"/>
      <c r="X34" s="2519"/>
      <c r="Y34" s="2519"/>
      <c r="Z34" s="2519"/>
      <c r="AA34" s="2519"/>
      <c r="AB34" s="2519"/>
      <c r="AC34" s="687"/>
      <c r="AD34" s="2519" t="str">
        <f>IF(TITLE_DATE_PR_CHANGE="",IF(TITLE_DATE_PR="","",TITLE_DATE_PR),TITLE_DATE_PR_CHANGE)</f>
        <v>45280</v>
      </c>
      <c r="AE34" s="2519"/>
      <c r="AF34" s="2519"/>
      <c r="AG34" s="2519"/>
      <c r="AH34" s="2519"/>
      <c r="AI34" s="2519"/>
      <c r="AJ34" s="2519"/>
      <c r="AK34" s="687"/>
      <c r="AL34" s="687"/>
      <c r="AM34" s="641"/>
      <c r="AN34" s="729"/>
      <c r="AO34" s="729"/>
      <c r="AP34" s="729"/>
      <c r="AQ34" s="729"/>
      <c r="AR34" s="729"/>
    </row>
    <row s="32230" customFormat="1" customHeight="1" ht="18.75" hidden="1">
      <c r="A35" s="1734"/>
      <c r="B35" s="1734"/>
      <c r="C35" s="1734"/>
      <c r="D35" s="1734"/>
      <c r="E35" s="1734"/>
      <c r="F35" s="1734"/>
      <c r="G35" s="1734"/>
      <c r="H35" s="1734"/>
      <c r="I35" s="1734"/>
      <c r="J35" s="1734"/>
      <c r="K35" s="1734"/>
      <c r="L35" s="1735"/>
      <c r="M35" s="1734"/>
      <c r="N35" s="1734"/>
      <c r="O35" s="1734"/>
      <c r="S35" s="2518" t="s">
        <v>465</v>
      </c>
      <c r="T35" s="2518"/>
      <c r="U35" s="1738"/>
      <c r="V35" s="2520" t="str">
        <f>IF(TITLE_NUMBER_PR_CHANGE="",IF(TITLE_NUMBER_PR="","",TITLE_NUMBER_PR),TITLE_NUMBER_PR_CHANGE)</f>
        <v>51/16</v>
      </c>
      <c r="W35" s="2520"/>
      <c r="X35" s="2520"/>
      <c r="Y35" s="2520"/>
      <c r="Z35" s="2520"/>
      <c r="AA35" s="2520"/>
      <c r="AB35" s="2520"/>
      <c r="AC35" s="687"/>
      <c r="AD35" s="2520" t="str">
        <f>IF(TITLE_NUMBER_PR_CHANGE="",IF(TITLE_NUMBER_PR="","",TITLE_NUMBER_PR),TITLE_NUMBER_PR_CHANGE)</f>
        <v>51/16</v>
      </c>
      <c r="AE35" s="2520"/>
      <c r="AF35" s="2520"/>
      <c r="AG35" s="2520"/>
      <c r="AH35" s="2520"/>
      <c r="AI35" s="2520"/>
      <c r="AJ35" s="2520"/>
      <c r="AK35" s="687"/>
      <c r="AL35" s="687"/>
      <c r="AM35" s="641"/>
      <c r="AN35" s="729"/>
      <c r="AO35" s="729"/>
      <c r="AP35" s="729"/>
      <c r="AQ35" s="729"/>
      <c r="AR35" s="729"/>
    </row>
    <row s="32230" customFormat="1" customHeight="1" ht="0">
      <c r="A36" s="1734"/>
      <c r="B36" s="1734"/>
      <c r="C36" s="1734"/>
      <c r="D36" s="1734"/>
      <c r="E36" s="1734"/>
      <c r="F36" s="1734"/>
      <c r="G36" s="1734"/>
      <c r="H36" s="1734"/>
      <c r="I36" s="1734"/>
      <c r="J36" s="1734"/>
      <c r="K36" s="1734"/>
      <c r="L36" s="1735"/>
      <c r="M36" s="1734"/>
      <c r="N36" s="1734"/>
      <c r="O36" s="1734"/>
      <c r="S36" s="684"/>
      <c r="T36" s="684"/>
      <c r="U36" s="1584"/>
      <c r="V36" s="687"/>
      <c r="W36" s="687"/>
      <c r="X36" s="687"/>
      <c r="Y36" s="687"/>
      <c r="Z36" s="687"/>
      <c r="AA36" s="687"/>
      <c r="AB36" s="687"/>
      <c r="AC36" s="639" t="s">
        <v>466</v>
      </c>
      <c r="AD36" s="687"/>
      <c r="AE36" s="687"/>
      <c r="AF36" s="687"/>
      <c r="AG36" s="687"/>
      <c r="AH36" s="687"/>
      <c r="AI36" s="687"/>
      <c r="AJ36" s="687"/>
      <c r="AK36" s="639" t="s">
        <v>466</v>
      </c>
      <c r="AN36" s="729"/>
      <c r="AO36" s="729"/>
      <c r="AP36" s="729"/>
      <c r="AQ36" s="729"/>
      <c r="AR36" s="729"/>
    </row>
    <row customHeight="1" ht="14.25">
      <c r="Q37" s="737"/>
      <c r="R37" s="737"/>
      <c r="S37" s="1641"/>
      <c r="T37" s="724"/>
      <c r="U37" s="1609"/>
      <c r="V37" s="2544"/>
      <c r="W37" s="2544"/>
      <c r="X37" s="2544"/>
      <c r="Y37" s="2544"/>
      <c r="Z37" s="2544"/>
      <c r="AA37" s="2544"/>
      <c r="AB37" s="2544"/>
      <c r="AC37" s="2544"/>
      <c r="AD37" s="2544"/>
      <c r="AE37" s="2544"/>
      <c r="AF37" s="2544"/>
      <c r="AG37" s="2544"/>
      <c r="AH37" s="2544"/>
      <c r="AI37" s="2544"/>
      <c r="AJ37" s="2544"/>
      <c r="AK37" s="2544"/>
    </row>
    <row customHeight="1" ht="14.25">
      <c r="Q38" s="737"/>
      <c r="R38" s="737"/>
      <c r="S38" s="2392" t="s">
        <v>341</v>
      </c>
      <c r="T38" s="2392"/>
      <c r="U38" s="2392"/>
      <c r="V38" s="2392"/>
      <c r="W38" s="2392"/>
      <c r="X38" s="2392"/>
      <c r="Y38" s="2392"/>
      <c r="Z38" s="2392"/>
      <c r="AA38" s="2392"/>
      <c r="AB38" s="2392"/>
      <c r="AC38" s="2392"/>
      <c r="AD38" s="2392"/>
      <c r="AE38" s="2392"/>
      <c r="AF38" s="2392"/>
      <c r="AG38" s="2392"/>
      <c r="AH38" s="2392"/>
      <c r="AI38" s="2392"/>
      <c r="AJ38" s="2392"/>
      <c r="AK38" s="2392"/>
      <c r="AL38" s="2392"/>
      <c r="AM38" s="2392" t="s">
        <v>342</v>
      </c>
    </row>
    <row customHeight="1" ht="14.25">
      <c r="Q39" s="737"/>
      <c r="R39" s="737"/>
      <c r="S39" s="2545" t="s">
        <v>87</v>
      </c>
      <c r="T39" s="2482" t="s">
        <v>467</v>
      </c>
      <c r="U39" s="662"/>
      <c r="V39" s="2546" t="s">
        <v>468</v>
      </c>
      <c r="W39" s="2547"/>
      <c r="X39" s="2547"/>
      <c r="Y39" s="2547"/>
      <c r="Z39" s="2547"/>
      <c r="AA39" s="2547"/>
      <c r="AB39" s="2548"/>
      <c r="AC39" s="2549" t="s">
        <v>469</v>
      </c>
      <c r="AD39" s="2546" t="s">
        <v>468</v>
      </c>
      <c r="AE39" s="2547"/>
      <c r="AF39" s="2547"/>
      <c r="AG39" s="2547"/>
      <c r="AH39" s="2547"/>
      <c r="AI39" s="2547"/>
      <c r="AJ39" s="2548"/>
      <c r="AK39" s="2549" t="s">
        <v>470</v>
      </c>
      <c r="AL39" s="2552" t="s">
        <v>471</v>
      </c>
      <c r="AM39" s="2392"/>
    </row>
    <row customHeight="1" ht="33.75">
      <c r="Q40" s="737"/>
      <c r="R40" s="737"/>
      <c r="S40" s="2545"/>
      <c r="T40" s="2482"/>
      <c r="U40" s="1393"/>
      <c r="V40" s="2555" t="s">
        <v>472</v>
      </c>
      <c r="W40" s="2536" t="s">
        <v>473</v>
      </c>
      <c r="X40" s="2538" t="s">
        <v>474</v>
      </c>
      <c r="Y40" s="2540"/>
      <c r="Z40" s="2538" t="s">
        <v>475</v>
      </c>
      <c r="AA40" s="2539"/>
      <c r="AB40" s="2540"/>
      <c r="AC40" s="2550"/>
      <c r="AD40" s="2555" t="s">
        <v>472</v>
      </c>
      <c r="AE40" s="2536" t="s">
        <v>473</v>
      </c>
      <c r="AF40" s="2538" t="s">
        <v>474</v>
      </c>
      <c r="AG40" s="2540"/>
      <c r="AH40" s="2538" t="s">
        <v>475</v>
      </c>
      <c r="AI40" s="2539"/>
      <c r="AJ40" s="2540"/>
      <c r="AK40" s="2550"/>
      <c r="AL40" s="2553"/>
      <c r="AM40" s="2392"/>
    </row>
    <row customHeight="1" ht="33.75">
      <c r="A41" s="1736"/>
      <c r="B41" s="1736" t="s">
        <v>143</v>
      </c>
      <c r="C41" s="1736" t="s">
        <v>144</v>
      </c>
      <c r="D41" s="1736" t="s">
        <v>145</v>
      </c>
      <c r="E41" s="1730" t="s">
        <v>476</v>
      </c>
      <c r="F41" s="1730" t="s">
        <v>477</v>
      </c>
      <c r="G41" s="1730" t="s">
        <v>478</v>
      </c>
      <c r="H41" s="1730" t="s">
        <v>479</v>
      </c>
      <c r="I41" s="1730" t="s">
        <v>480</v>
      </c>
      <c r="J41" s="1730" t="s">
        <v>481</v>
      </c>
      <c r="K41" s="1730" t="s">
        <v>482</v>
      </c>
      <c r="L41" s="1730" t="s">
        <v>457</v>
      </c>
      <c r="Q41" s="737"/>
      <c r="R41" s="737"/>
      <c r="S41" s="2545"/>
      <c r="T41" s="2482"/>
      <c r="U41" s="663"/>
      <c r="V41" s="2556"/>
      <c r="W41" s="2537"/>
      <c r="X41" s="1587" t="s">
        <v>483</v>
      </c>
      <c r="Y41" s="1587" t="s">
        <v>484</v>
      </c>
      <c r="Z41" s="1586" t="s">
        <v>485</v>
      </c>
      <c r="AA41" s="2541" t="s">
        <v>486</v>
      </c>
      <c r="AB41" s="2542"/>
      <c r="AC41" s="2551"/>
      <c r="AD41" s="2556"/>
      <c r="AE41" s="2537"/>
      <c r="AF41" s="1587" t="s">
        <v>483</v>
      </c>
      <c r="AG41" s="1587" t="s">
        <v>484</v>
      </c>
      <c r="AH41" s="1679" t="s">
        <v>485</v>
      </c>
      <c r="AI41" s="2541" t="s">
        <v>486</v>
      </c>
      <c r="AJ41" s="2542"/>
      <c r="AK41" s="2551"/>
      <c r="AL41" s="2554"/>
      <c r="AM41" s="2392"/>
    </row>
    <row s="32049" customFormat="1" customHeight="1" ht="11.25" hidden="1">
      <c r="A42" s="1736"/>
      <c r="B42" s="1736"/>
      <c r="C42" s="1736"/>
      <c r="D42" s="1736"/>
      <c r="E42" s="1736"/>
      <c r="F42" s="1736"/>
      <c r="G42" s="1736"/>
      <c r="H42" s="1736"/>
      <c r="I42" s="1736"/>
      <c r="J42" s="1736"/>
      <c r="K42" s="1736"/>
      <c r="L42" s="1730"/>
      <c r="M42" s="1728"/>
      <c r="N42" s="1728"/>
      <c r="O42" s="1728"/>
      <c r="P42" s="1611"/>
      <c r="Q42" s="1612"/>
      <c r="R42" s="1619">
        <v>1</v>
      </c>
      <c r="S42" s="1643" t="s">
        <v>118</v>
      </c>
      <c r="T42" s="1620" t="s">
        <v>102</v>
      </c>
      <c r="U42" s="1610" t="str">
        <f>OFFSET(U42,0,-1)</f>
        <v>2</v>
      </c>
      <c r="V42" s="1621">
        <f>OFFSET(V42,0,-1)+1</f>
        <v>3</v>
      </c>
      <c r="W42" s="1621"/>
      <c r="X42" s="1621">
        <f>OFFSET(X42,0,-1)+1</f>
        <v>1</v>
      </c>
      <c r="Y42" s="1621">
        <f>OFFSET(Y42,0,-1)+1</f>
        <v>2</v>
      </c>
      <c r="Z42" s="1621">
        <f>OFFSET(Z42,0,-1)+1</f>
        <v>3</v>
      </c>
      <c r="AA42" s="2543">
        <f>OFFSET(AA42,0,-1)+1</f>
        <v>4</v>
      </c>
      <c r="AB42" s="2543"/>
      <c r="AC42" s="1621">
        <f>OFFSET(AC42,0,-2)+1</f>
        <v>5</v>
      </c>
      <c r="AD42" s="1678">
        <f>OFFSET(AD42,0,-1)+1</f>
        <v>6</v>
      </c>
      <c r="AE42" s="1678"/>
      <c r="AF42" s="1678">
        <f>OFFSET(AF42,0,-1)+1</f>
        <v>1</v>
      </c>
      <c r="AG42" s="1678">
        <f>OFFSET(AG42,0,-1)+1</f>
        <v>2</v>
      </c>
      <c r="AH42" s="1678">
        <f>OFFSET(AH42,0,-1)+1</f>
        <v>3</v>
      </c>
      <c r="AI42" s="2543">
        <f>OFFSET(AI42,0,-1)+1</f>
        <v>4</v>
      </c>
      <c r="AJ42" s="2543"/>
      <c r="AK42" s="1678">
        <f>OFFSET(AK42,0,-2)+1</f>
        <v>5</v>
      </c>
      <c r="AL42" s="1610">
        <f>OFFSET(AL42,0,-1)</f>
        <v>5</v>
      </c>
      <c r="AM42" s="1621">
        <f>OFFSET(AM42,0,-1)+1</f>
        <v>6</v>
      </c>
      <c r="AN42" s="872"/>
      <c r="AO42" s="872"/>
      <c r="AP42" s="872"/>
      <c r="AQ42" s="872"/>
      <c r="AR42" s="872"/>
    </row>
    <row customHeight="1" ht="23.25">
      <c r="A43" s="1729" t="s">
        <v>162</v>
      </c>
      <c r="B43" s="1729"/>
      <c r="C43" s="1729"/>
      <c r="D43" s="1729"/>
      <c r="E43" s="2527">
        <v>1</v>
      </c>
      <c r="F43" s="1729"/>
      <c r="G43" s="1729"/>
      <c r="H43" s="1729"/>
      <c r="I43" s="1729"/>
      <c r="J43" s="1729"/>
      <c r="K43" s="1729"/>
      <c r="L43" s="1730"/>
      <c r="M43" s="1731"/>
      <c r="N43" s="1731"/>
      <c r="O43" s="1731"/>
      <c r="P43" s="722"/>
      <c r="Q43" s="721"/>
      <c r="R43" s="716"/>
      <c r="S43" s="1589">
        <f>INDEX(PT_DIFFERENTIATION_NUM_NTAR,MATCH(A43,PT_DIFFERENTIATION_NTAR_ID,0))</f>
        <v>0</v>
      </c>
      <c r="T43" s="659" t="s">
        <v>131</v>
      </c>
      <c r="U43" s="661"/>
      <c r="V43" s="2521"/>
      <c r="W43" s="2522"/>
      <c r="X43" s="2522"/>
      <c r="Y43" s="2522"/>
      <c r="Z43" s="2522"/>
      <c r="AA43" s="2522"/>
      <c r="AB43" s="2522"/>
      <c r="AC43" s="2523"/>
      <c r="AD43" s="2521" t="str">
        <f>INDEX(PT_DIFFERENTIATION_NTAR,MATCH(A43,PT_DIFFERENTIATION_NTAR_ID,0))</f>
        <v/>
      </c>
      <c r="AE43" s="2522"/>
      <c r="AF43" s="2522"/>
      <c r="AG43" s="2522"/>
      <c r="AH43" s="2522"/>
      <c r="AI43" s="2522"/>
      <c r="AJ43" s="2522"/>
      <c r="AK43" s="2522"/>
      <c r="AL43" s="2523"/>
      <c r="AM43" s="16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861"/>
      <c r="AP43" s="861" t="str">
        <f>IF(T43="","",T43)</f>
        <v>Наименование тарифа</v>
      </c>
      <c r="AQ43" s="861"/>
      <c r="AR43" s="861"/>
    </row>
    <row customHeight="1" ht="23.25">
      <c r="A44" s="1729" t="s">
        <v>162</v>
      </c>
      <c r="B44" s="1729" t="s">
        <v>163</v>
      </c>
      <c r="C44" s="1729"/>
      <c r="D44" s="1729"/>
      <c r="E44" s="2528"/>
      <c r="F44" s="2527">
        <v>1</v>
      </c>
      <c r="G44" s="1729"/>
      <c r="H44" s="1729"/>
      <c r="I44" s="1729"/>
      <c r="J44" s="1729"/>
      <c r="K44" s="1729"/>
      <c r="L44" s="1730"/>
      <c r="M44" s="1731"/>
      <c r="N44" s="1731"/>
      <c r="O44" s="1731"/>
      <c r="P44" s="883"/>
      <c r="Q44" s="713"/>
      <c r="R44" s="714"/>
      <c r="S44" s="1589" t="str">
        <f>INDEX(PT_DIFFERENTIATION_NUM_TER,MATCH(B44,PT_DIFFERENTIATION_TER_ID,0))</f>
        <v>.</v>
      </c>
      <c r="T44" s="669" t="s">
        <v>438</v>
      </c>
      <c r="U44" s="661"/>
      <c r="V44" s="2521"/>
      <c r="W44" s="2522"/>
      <c r="X44" s="2522"/>
      <c r="Y44" s="2522"/>
      <c r="Z44" s="2522"/>
      <c r="AA44" s="2522"/>
      <c r="AB44" s="2522"/>
      <c r="AC44" s="2523"/>
      <c r="AD44" s="2521" t="str">
        <f>INDEX(PT_DIFFERENTIATION_TER,MATCH(B44,PT_DIFFERENTIATION_TER_ID,0))</f>
        <v/>
      </c>
      <c r="AE44" s="2522"/>
      <c r="AF44" s="2522"/>
      <c r="AG44" s="2522"/>
      <c r="AH44" s="2522"/>
      <c r="AI44" s="2522"/>
      <c r="AJ44" s="2522"/>
      <c r="AK44" s="2522"/>
      <c r="AL44" s="2523"/>
      <c r="AM44" s="1623" t="s">
        <v>439</v>
      </c>
      <c r="AO44" s="861"/>
      <c r="AP44" s="861" t="str">
        <f>IF(T44="","",T44)</f>
        <v>Территория действия тарифа</v>
      </c>
      <c r="AQ44" s="861"/>
      <c r="AR44" s="861"/>
    </row>
    <row customHeight="1" ht="23.25">
      <c r="A45" s="1729" t="s">
        <v>162</v>
      </c>
      <c r="B45" s="1729" t="s">
        <v>163</v>
      </c>
      <c r="C45" s="1729" t="s">
        <v>164</v>
      </c>
      <c r="D45" s="1729"/>
      <c r="E45" s="2528"/>
      <c r="F45" s="2528"/>
      <c r="G45" s="2527">
        <v>1</v>
      </c>
      <c r="H45" s="1729"/>
      <c r="I45" s="1729"/>
      <c r="J45" s="1729"/>
      <c r="K45" s="1729"/>
      <c r="L45" s="1730"/>
      <c r="M45" s="1731"/>
      <c r="N45" s="1731"/>
      <c r="O45" s="1731"/>
      <c r="P45" s="715"/>
      <c r="Q45" s="713"/>
      <c r="R45" s="714"/>
      <c r="S45" s="1589" t="str">
        <f>INDEX(PT_DIFFERENTIATION_NUM_CS,MATCH(C45,PT_DIFFERENTIATION_CS_ID,0))</f>
        <v>..</v>
      </c>
      <c r="T45" s="670" t="s">
        <v>440</v>
      </c>
      <c r="U45" s="661"/>
      <c r="V45" s="2521"/>
      <c r="W45" s="2522"/>
      <c r="X45" s="2522"/>
      <c r="Y45" s="2522"/>
      <c r="Z45" s="2522"/>
      <c r="AA45" s="2522"/>
      <c r="AB45" s="2522"/>
      <c r="AC45" s="2523"/>
      <c r="AD45" s="2521" t="str">
        <f>INDEX(PT_DIFFERENTIATION_CS,MATCH(C45,PT_DIFFERENTIATION_CS_ID,0))</f>
        <v/>
      </c>
      <c r="AE45" s="2522"/>
      <c r="AF45" s="2522"/>
      <c r="AG45" s="2522"/>
      <c r="AH45" s="2522"/>
      <c r="AI45" s="2522"/>
      <c r="AJ45" s="2522"/>
      <c r="AK45" s="2522"/>
      <c r="AL45" s="2523"/>
      <c r="AM45" s="1623" t="s">
        <v>441</v>
      </c>
      <c r="AO45" s="861"/>
      <c r="AP45" s="861" t="str">
        <f>IF(T45="","",T45)</f>
        <v>Наименование системы теплоснабжения </v>
      </c>
      <c r="AQ45" s="861"/>
      <c r="AR45" s="861"/>
    </row>
    <row customHeight="1" ht="23.25">
      <c r="A46" s="1729" t="s">
        <v>162</v>
      </c>
      <c r="B46" s="1729" t="s">
        <v>163</v>
      </c>
      <c r="C46" s="1729" t="s">
        <v>164</v>
      </c>
      <c r="D46" s="1729" t="s">
        <v>165</v>
      </c>
      <c r="E46" s="2528"/>
      <c r="F46" s="2528"/>
      <c r="G46" s="2528"/>
      <c r="H46" s="2527">
        <v>1</v>
      </c>
      <c r="I46" s="1729"/>
      <c r="J46" s="1729"/>
      <c r="K46" s="1729"/>
      <c r="L46" s="1730"/>
      <c r="M46" s="1731"/>
      <c r="N46" s="1731"/>
      <c r="O46" s="1731"/>
      <c r="P46" s="715"/>
      <c r="Q46" s="713"/>
      <c r="R46" s="714"/>
      <c r="S46" s="1589" t="str">
        <f>INDEX(PT_DIFFERENTIATION_NUM_IST_TE,MATCH(D46,PT_DIFFERENTIATION_IST_TE_ID,0))</f>
        <v>...</v>
      </c>
      <c r="T46" s="671" t="s">
        <v>442</v>
      </c>
      <c r="U46" s="661"/>
      <c r="V46" s="2521"/>
      <c r="W46" s="2522"/>
      <c r="X46" s="2522"/>
      <c r="Y46" s="2522"/>
      <c r="Z46" s="2522"/>
      <c r="AA46" s="2522"/>
      <c r="AB46" s="2522"/>
      <c r="AC46" s="2523"/>
      <c r="AD46" s="2521" t="str">
        <f>INDEX(PT_DIFFERENTIATION_IST_TE,MATCH(D46,PT_DIFFERENTIATION_IST_TE_ID,0))</f>
        <v/>
      </c>
      <c r="AE46" s="2522"/>
      <c r="AF46" s="2522"/>
      <c r="AG46" s="2522"/>
      <c r="AH46" s="2522"/>
      <c r="AI46" s="2522"/>
      <c r="AJ46" s="2522"/>
      <c r="AK46" s="2522"/>
      <c r="AL46" s="2523"/>
      <c r="AM46" s="1623" t="s">
        <v>443</v>
      </c>
      <c r="AO46" s="861"/>
      <c r="AP46" s="861" t="str">
        <f>IF(T46="","",T46)</f>
        <v>Источник тепловой энергии  </v>
      </c>
      <c r="AQ46" s="861"/>
      <c r="AR46" s="861"/>
    </row>
    <row customHeight="1" ht="47.25">
      <c r="A47" s="1729" t="s">
        <v>162</v>
      </c>
      <c r="B47" s="1729" t="s">
        <v>163</v>
      </c>
      <c r="C47" s="1729" t="s">
        <v>164</v>
      </c>
      <c r="D47" s="1729" t="s">
        <v>165</v>
      </c>
      <c r="E47" s="2528"/>
      <c r="F47" s="2528"/>
      <c r="G47" s="2528"/>
      <c r="H47" s="2528"/>
      <c r="I47" s="2529" t="str">
        <f>S46&amp;".1"</f>
        <v>....1</v>
      </c>
      <c r="J47" s="1729"/>
      <c r="K47" s="1729"/>
      <c r="L47" s="1730" t="s">
        <v>444</v>
      </c>
      <c r="P47" s="2531">
        <v>1</v>
      </c>
      <c r="Q47" s="1585"/>
      <c r="R47" s="717"/>
      <c r="S47" s="1589" t="str">
        <f>$I47</f>
        <v>....1</v>
      </c>
      <c r="T47" s="646" t="s">
        <v>445</v>
      </c>
      <c r="U47" s="661"/>
      <c r="V47" s="2515"/>
      <c r="W47" s="2516"/>
      <c r="X47" s="2516"/>
      <c r="Y47" s="2516"/>
      <c r="Z47" s="2516"/>
      <c r="AA47" s="2516"/>
      <c r="AB47" s="2516"/>
      <c r="AC47" s="2517"/>
      <c r="AD47" s="2515"/>
      <c r="AE47" s="2516"/>
      <c r="AF47" s="2516"/>
      <c r="AG47" s="2516"/>
      <c r="AH47" s="2516"/>
      <c r="AI47" s="2516"/>
      <c r="AJ47" s="2516"/>
      <c r="AK47" s="2516"/>
      <c r="AL47" s="2517"/>
      <c r="AM47" s="1623" t="s">
        <v>446</v>
      </c>
      <c r="AO47" s="861"/>
      <c r="AP47" s="861" t="str">
        <f>IF(T47="","",T47)</f>
        <v>Схема подключения теплопотребляющей установки к коллектору источника тепловой энергии</v>
      </c>
      <c r="AQ47" s="861"/>
      <c r="AR47" s="861"/>
    </row>
    <row customHeight="1" ht="23.25">
      <c r="A48" s="1729" t="s">
        <v>162</v>
      </c>
      <c r="B48" s="1729" t="s">
        <v>163</v>
      </c>
      <c r="C48" s="1729" t="s">
        <v>164</v>
      </c>
      <c r="D48" s="1729" t="s">
        <v>165</v>
      </c>
      <c r="E48" s="2528"/>
      <c r="F48" s="2528"/>
      <c r="G48" s="2528"/>
      <c r="H48" s="2528"/>
      <c r="I48" s="2530"/>
      <c r="J48" s="2529" t="str">
        <f>I47&amp;".1"</f>
        <v>....1.1</v>
      </c>
      <c r="K48" s="1729"/>
      <c r="L48" s="1730" t="s">
        <v>447</v>
      </c>
      <c r="P48" s="2531"/>
      <c r="Q48" s="2531">
        <v>1</v>
      </c>
      <c r="R48" s="718"/>
      <c r="S48" s="1589" t="str">
        <f>$J48</f>
        <v>....1.1</v>
      </c>
      <c r="T48" s="647" t="s">
        <v>448</v>
      </c>
      <c r="U48" s="661"/>
      <c r="V48" s="2515"/>
      <c r="W48" s="2516"/>
      <c r="X48" s="2516"/>
      <c r="Y48" s="2516"/>
      <c r="Z48" s="2516"/>
      <c r="AA48" s="2516"/>
      <c r="AB48" s="2516"/>
      <c r="AC48" s="2517"/>
      <c r="AD48" s="2515"/>
      <c r="AE48" s="2516"/>
      <c r="AF48" s="2516"/>
      <c r="AG48" s="2516"/>
      <c r="AH48" s="2516"/>
      <c r="AI48" s="2516"/>
      <c r="AJ48" s="2516"/>
      <c r="AK48" s="2516"/>
      <c r="AL48" s="2517"/>
      <c r="AM48" s="1623" t="s">
        <v>449</v>
      </c>
      <c r="AO48" s="861"/>
      <c r="AP48" s="861" t="str">
        <f>IF(T48="","",T48)</f>
        <v>Группа потребителей</v>
      </c>
      <c r="AQ48" s="861"/>
      <c r="AR48" s="861"/>
    </row>
    <row customHeight="1" ht="23.25">
      <c r="A49" s="1729" t="s">
        <v>162</v>
      </c>
      <c r="B49" s="1729" t="s">
        <v>163</v>
      </c>
      <c r="C49" s="1729" t="s">
        <v>164</v>
      </c>
      <c r="D49" s="1729" t="s">
        <v>165</v>
      </c>
      <c r="E49" s="2528"/>
      <c r="F49" s="2528"/>
      <c r="G49" s="2528"/>
      <c r="H49" s="2528"/>
      <c r="I49" s="2530"/>
      <c r="J49" s="2530"/>
      <c r="K49" s="2529" t="str">
        <f>J48&amp;".1"</f>
        <v>....1.1.1</v>
      </c>
      <c r="L49" s="1730" t="s">
        <v>450</v>
      </c>
      <c r="P49" s="2531"/>
      <c r="Q49" s="2531"/>
      <c r="R49" s="718">
        <v>1</v>
      </c>
      <c r="S49" s="1589" t="str">
        <f>$K49</f>
        <v>....1.1.1</v>
      </c>
      <c r="T49" s="1713"/>
      <c r="U49" s="661"/>
      <c r="V49" s="1112"/>
      <c r="W49" s="686"/>
      <c r="X49" s="1112"/>
      <c r="Y49" s="1622"/>
      <c r="Z49" s="2532"/>
      <c r="AA49" s="2402" t="s">
        <v>66</v>
      </c>
      <c r="AB49" s="2532"/>
      <c r="AC49" s="2402" t="s">
        <v>66</v>
      </c>
      <c r="AD49" s="1112"/>
      <c r="AE49" s="686"/>
      <c r="AF49" s="1112"/>
      <c r="AG49" s="1622"/>
      <c r="AH49" s="2532"/>
      <c r="AI49" s="2402" t="s">
        <v>66</v>
      </c>
      <c r="AJ49" s="2534"/>
      <c r="AK49" s="2402" t="s">
        <v>66</v>
      </c>
      <c r="AL49" s="1714"/>
      <c r="AM49" s="2557" t="s">
        <v>451</v>
      </c>
      <c r="AN49" s="872">
        <f>STRCHECKDATE(V50:AL50)</f>
      </c>
      <c r="AO49" s="861"/>
      <c r="AP49" s="861" t="str">
        <f>IF(T49="","",T49)</f>
        <v/>
      </c>
      <c r="AQ49" s="861"/>
      <c r="AR49" s="861"/>
    </row>
    <row customHeight="1" ht="0.75">
      <c r="A50" s="1729" t="s">
        <v>162</v>
      </c>
      <c r="B50" s="1729" t="s">
        <v>163</v>
      </c>
      <c r="C50" s="1729" t="s">
        <v>164</v>
      </c>
      <c r="D50" s="1729" t="s">
        <v>165</v>
      </c>
      <c r="E50" s="2528"/>
      <c r="F50" s="2528"/>
      <c r="G50" s="2528"/>
      <c r="H50" s="2528"/>
      <c r="I50" s="2530"/>
      <c r="J50" s="2530"/>
      <c r="K50" s="2529"/>
      <c r="L50" s="1730"/>
      <c r="P50" s="2531"/>
      <c r="Q50" s="2531"/>
      <c r="R50" s="718"/>
      <c r="S50" s="1588"/>
      <c r="T50" s="661"/>
      <c r="U50" s="661"/>
      <c r="V50" s="686"/>
      <c r="W50" s="686"/>
      <c r="X50" s="686"/>
      <c r="Y50" s="689" t="str">
        <f>Z49&amp;"-"&amp;AB49</f>
        <v>-</v>
      </c>
      <c r="Z50" s="2533"/>
      <c r="AA50" s="2402"/>
      <c r="AB50" s="2533"/>
      <c r="AC50" s="2402"/>
      <c r="AD50" s="686"/>
      <c r="AE50" s="686"/>
      <c r="AF50" s="686"/>
      <c r="AG50" s="689" t="str">
        <f>AH49&amp;"-"&amp;AJ49</f>
        <v>-</v>
      </c>
      <c r="AH50" s="2533"/>
      <c r="AI50" s="2402"/>
      <c r="AJ50" s="2535"/>
      <c r="AK50" s="2402"/>
      <c r="AL50" s="1715"/>
      <c r="AM50" s="2558"/>
      <c r="AO50" s="861"/>
      <c r="AP50" s="861" t="str">
        <f>IF(T50="","",T50)</f>
        <v/>
      </c>
      <c r="AQ50" s="861"/>
      <c r="AR50" s="861"/>
    </row>
    <row customHeight="1" ht="11.25">
      <c r="A51" s="1729" t="s">
        <v>162</v>
      </c>
      <c r="B51" s="1729" t="s">
        <v>163</v>
      </c>
      <c r="C51" s="1729" t="s">
        <v>164</v>
      </c>
      <c r="D51" s="1729" t="s">
        <v>165</v>
      </c>
      <c r="E51" s="2528"/>
      <c r="F51" s="2528"/>
      <c r="G51" s="2528"/>
      <c r="H51" s="2528"/>
      <c r="I51" s="2530"/>
      <c r="J51" s="2529"/>
      <c r="K51" s="1729"/>
      <c r="L51" s="1730"/>
      <c r="P51" s="2531"/>
      <c r="Q51" s="2531"/>
      <c r="R51" s="717"/>
      <c r="S51" s="1644"/>
      <c r="T51" s="649" t="s">
        <v>452</v>
      </c>
      <c r="U51" s="728"/>
      <c r="V51" s="728"/>
      <c r="W51" s="728"/>
      <c r="X51" s="728"/>
      <c r="Y51" s="728"/>
      <c r="Z51" s="728"/>
      <c r="AA51" s="728"/>
      <c r="AB51" s="728"/>
      <c r="AC51" s="728"/>
      <c r="AD51" s="728"/>
      <c r="AE51" s="728"/>
      <c r="AF51" s="728"/>
      <c r="AG51" s="728"/>
      <c r="AH51" s="728"/>
      <c r="AI51" s="728"/>
      <c r="AJ51" s="728"/>
      <c r="AK51" s="728"/>
      <c r="AL51" s="685"/>
      <c r="AM51" s="2559"/>
      <c r="AO51" s="861"/>
      <c r="AP51" s="861" t="str">
        <f>IF(T51="","",T51)</f>
        <v>Добавить вид теплоносителя (параметры теплоносителя)</v>
      </c>
      <c r="AQ51" s="861"/>
      <c r="AR51" s="861"/>
    </row>
    <row customHeight="1" ht="11.25">
      <c r="A52" s="1729" t="s">
        <v>162</v>
      </c>
      <c r="B52" s="1729" t="s">
        <v>163</v>
      </c>
      <c r="C52" s="1729" t="s">
        <v>164</v>
      </c>
      <c r="D52" s="1729" t="s">
        <v>165</v>
      </c>
      <c r="E52" s="2528"/>
      <c r="F52" s="2528"/>
      <c r="G52" s="2528"/>
      <c r="H52" s="2528"/>
      <c r="I52" s="2529"/>
      <c r="J52" s="1729"/>
      <c r="K52" s="1729"/>
      <c r="L52" s="1730"/>
      <c r="P52" s="2531"/>
      <c r="Q52" s="1585"/>
      <c r="R52" s="717"/>
      <c r="S52" s="1644"/>
      <c r="T52" s="648" t="s">
        <v>453</v>
      </c>
      <c r="U52" s="728"/>
      <c r="V52" s="728"/>
      <c r="W52" s="728"/>
      <c r="X52" s="728"/>
      <c r="Y52" s="728"/>
      <c r="Z52" s="728"/>
      <c r="AA52" s="728"/>
      <c r="AB52" s="728"/>
      <c r="AC52" s="727"/>
      <c r="AD52" s="728"/>
      <c r="AE52" s="728"/>
      <c r="AF52" s="728"/>
      <c r="AG52" s="728"/>
      <c r="AH52" s="728"/>
      <c r="AI52" s="728"/>
      <c r="AJ52" s="728"/>
      <c r="AK52" s="727"/>
      <c r="AL52" s="728"/>
      <c r="AM52" s="664"/>
      <c r="AO52" s="861"/>
      <c r="AP52" s="861" t="str">
        <f>IF(T52="","",T52)</f>
        <v>Добавить группу потребителей</v>
      </c>
      <c r="AQ52" s="861"/>
      <c r="AR52" s="861"/>
    </row>
    <row customHeight="1" ht="14.25">
      <c r="A53" s="1729" t="s">
        <v>162</v>
      </c>
      <c r="B53" s="1729" t="s">
        <v>163</v>
      </c>
      <c r="C53" s="1729" t="s">
        <v>164</v>
      </c>
      <c r="D53" s="1729" t="s">
        <v>165</v>
      </c>
      <c r="E53" s="2528"/>
      <c r="F53" s="2528"/>
      <c r="G53" s="2528"/>
      <c r="H53" s="2527"/>
      <c r="I53" s="1729"/>
      <c r="J53" s="1729"/>
      <c r="K53" s="1729"/>
      <c r="L53" s="1730"/>
      <c r="M53" s="1731"/>
      <c r="N53" s="1731"/>
      <c r="O53" s="898"/>
      <c r="P53" s="721"/>
      <c r="Q53" s="736"/>
      <c r="R53" s="716"/>
      <c r="S53" s="1644"/>
      <c r="T53" s="726" t="s">
        <v>454</v>
      </c>
      <c r="U53" s="728"/>
      <c r="V53" s="728"/>
      <c r="W53" s="728"/>
      <c r="X53" s="728"/>
      <c r="Y53" s="728"/>
      <c r="Z53" s="728"/>
      <c r="AA53" s="728"/>
      <c r="AB53" s="728"/>
      <c r="AC53" s="727"/>
      <c r="AD53" s="728"/>
      <c r="AE53" s="728"/>
      <c r="AF53" s="728"/>
      <c r="AG53" s="728"/>
      <c r="AH53" s="728"/>
      <c r="AI53" s="728"/>
      <c r="AJ53" s="728"/>
      <c r="AK53" s="727"/>
      <c r="AL53" s="728"/>
      <c r="AM53" s="664"/>
      <c r="AO53" s="861"/>
      <c r="AP53" s="861" t="str">
        <f>IF(T53="","",T53)</f>
        <v>Добавить схему подключения</v>
      </c>
      <c r="AQ53" s="861"/>
      <c r="AR53" s="861"/>
    </row>
    <row s="32198" customFormat="1" customHeight="1" ht="0.75">
      <c r="A54" s="1709" t="s">
        <v>162</v>
      </c>
      <c r="B54" s="1709" t="s">
        <v>163</v>
      </c>
      <c r="C54" s="1709" t="s">
        <v>164</v>
      </c>
      <c r="D54" s="1680"/>
      <c r="E54" s="2528"/>
      <c r="F54" s="2528"/>
      <c r="G54" s="2527"/>
      <c r="H54" s="1680"/>
      <c r="I54" s="1680"/>
      <c r="J54" s="1680"/>
      <c r="K54" s="1680"/>
      <c r="L54" s="1705"/>
      <c r="M54" s="1681"/>
      <c r="N54" s="1681"/>
      <c r="P54" s="1682"/>
      <c r="Q54" s="1683"/>
      <c r="R54" s="1682"/>
      <c r="S54" s="1688"/>
      <c r="T54" s="1691" t="s">
        <v>455</v>
      </c>
      <c r="U54" s="1690"/>
      <c r="V54" s="1690"/>
      <c r="W54" s="1690"/>
      <c r="X54" s="1690"/>
      <c r="Y54" s="1690"/>
      <c r="Z54" s="1690"/>
      <c r="AA54" s="1690"/>
      <c r="AB54" s="1690"/>
      <c r="AC54" s="1690"/>
      <c r="AD54" s="1690"/>
      <c r="AE54" s="1690"/>
      <c r="AF54" s="1690"/>
      <c r="AG54" s="1690"/>
      <c r="AH54" s="1690"/>
      <c r="AI54" s="1690"/>
      <c r="AJ54" s="1690"/>
      <c r="AK54" s="1690"/>
      <c r="AL54" s="1690"/>
      <c r="AM54" s="1690"/>
      <c r="AO54" s="1150"/>
      <c r="AP54" s="1150" t="str">
        <f>IF(T54="","",T54)</f>
        <v>Добавить источник для дифференциации</v>
      </c>
      <c r="AQ54" s="1150"/>
      <c r="AR54" s="1150"/>
    </row>
    <row s="32198" customFormat="1" customHeight="1" ht="0.75">
      <c r="A55" s="1709" t="s">
        <v>162</v>
      </c>
      <c r="B55" s="1709" t="s">
        <v>163</v>
      </c>
      <c r="C55" s="1680"/>
      <c r="D55" s="1680"/>
      <c r="E55" s="2528"/>
      <c r="F55" s="2527"/>
      <c r="G55" s="1680"/>
      <c r="H55" s="1680"/>
      <c r="I55" s="1680"/>
      <c r="J55" s="1680"/>
      <c r="K55" s="1680"/>
      <c r="L55" s="1705"/>
      <c r="M55" s="1687"/>
      <c r="N55" s="1687"/>
      <c r="P55" s="1682"/>
      <c r="Q55" s="1683"/>
      <c r="R55" s="1682"/>
      <c r="S55" s="1688"/>
      <c r="T55" s="1691" t="s">
        <v>262</v>
      </c>
      <c r="U55" s="1690"/>
      <c r="V55" s="1690"/>
      <c r="W55" s="1690"/>
      <c r="X55" s="1690"/>
      <c r="Y55" s="1690"/>
      <c r="Z55" s="1690"/>
      <c r="AA55" s="1690"/>
      <c r="AB55" s="1690"/>
      <c r="AC55" s="1690"/>
      <c r="AD55" s="1690"/>
      <c r="AE55" s="1690"/>
      <c r="AF55" s="1690"/>
      <c r="AG55" s="1690"/>
      <c r="AH55" s="1690"/>
      <c r="AI55" s="1690"/>
      <c r="AJ55" s="1690"/>
      <c r="AK55" s="1690"/>
      <c r="AL55" s="1690"/>
      <c r="AM55" s="1690"/>
      <c r="AO55" s="1150"/>
      <c r="AP55" s="1150" t="str">
        <f>IF(T55="","",T55)</f>
        <v>Добавить централизованную систему для дифференциации</v>
      </c>
      <c r="AQ55" s="1150"/>
      <c r="AR55" s="1150"/>
    </row>
    <row s="32289" customFormat="1" customHeight="1" ht="0.75">
      <c r="A56" s="1709" t="s">
        <v>162</v>
      </c>
      <c r="B56" s="1709"/>
      <c r="C56" s="1709"/>
      <c r="D56" s="1709"/>
      <c r="E56" s="2527"/>
      <c r="F56" s="1709"/>
      <c r="G56" s="1709"/>
      <c r="H56" s="1709"/>
      <c r="I56" s="1709"/>
      <c r="J56" s="1709"/>
      <c r="K56" s="1709"/>
      <c r="L56" s="1712"/>
      <c r="M56" s="1687"/>
      <c r="N56" s="1687"/>
      <c r="O56" s="879"/>
      <c r="P56" s="741"/>
      <c r="Q56" s="1710"/>
      <c r="R56" s="741"/>
      <c r="S56" s="1688"/>
      <c r="T56" s="1691" t="s">
        <v>270</v>
      </c>
      <c r="U56" s="1690"/>
      <c r="V56" s="1690"/>
      <c r="W56" s="1690"/>
      <c r="X56" s="1690"/>
      <c r="Y56" s="1690"/>
      <c r="Z56" s="1690"/>
      <c r="AA56" s="1690"/>
      <c r="AB56" s="1690"/>
      <c r="AC56" s="1690"/>
      <c r="AD56" s="1690"/>
      <c r="AE56" s="1690"/>
      <c r="AF56" s="1690"/>
      <c r="AG56" s="1690"/>
      <c r="AH56" s="1690"/>
      <c r="AI56" s="1690"/>
      <c r="AJ56" s="1690"/>
      <c r="AK56" s="1690"/>
      <c r="AL56" s="1690"/>
      <c r="AM56" s="1690"/>
      <c r="AO56" s="861"/>
      <c r="AP56" s="861" t="str">
        <f>IF(T56="","",T56)</f>
        <v>Добавить территорию для дифференциации</v>
      </c>
      <c r="AQ56" s="861"/>
      <c r="AR56" s="861"/>
    </row>
    <row s="32198" customFormat="1" customHeight="1" ht="0.75">
      <c r="A57" s="1680"/>
      <c r="B57" s="1680"/>
      <c r="C57" s="1680"/>
      <c r="D57" s="1680"/>
      <c r="E57" s="1709"/>
      <c r="F57" s="1680"/>
      <c r="G57" s="1680"/>
      <c r="H57" s="1680"/>
      <c r="I57" s="1680"/>
      <c r="J57" s="1680"/>
      <c r="K57" s="1680"/>
      <c r="L57" s="1705"/>
      <c r="M57" s="1687"/>
      <c r="N57" s="1687"/>
      <c r="P57" s="1682"/>
      <c r="Q57" s="1683"/>
      <c r="R57" s="1682"/>
      <c r="S57" s="1688"/>
      <c r="T57" s="1691" t="s">
        <v>294</v>
      </c>
      <c r="U57" s="1690"/>
      <c r="V57" s="1690"/>
      <c r="W57" s="1690"/>
      <c r="X57" s="1690"/>
      <c r="Y57" s="1690"/>
      <c r="Z57" s="1690"/>
      <c r="AA57" s="1690"/>
      <c r="AB57" s="1690"/>
      <c r="AC57" s="1690"/>
      <c r="AD57" s="1690"/>
      <c r="AE57" s="1690"/>
      <c r="AF57" s="1690"/>
      <c r="AG57" s="1690"/>
      <c r="AH57" s="1690"/>
      <c r="AI57" s="1690"/>
      <c r="AJ57" s="1690"/>
      <c r="AK57" s="1690"/>
      <c r="AL57" s="1690"/>
      <c r="AM57" s="1690"/>
      <c r="AO57" s="1150"/>
      <c r="AP57" s="1150" t="str">
        <f>IF(T57="","",T57)</f>
        <v>Добавить наименование тарифа</v>
      </c>
      <c r="AQ57" s="1150"/>
      <c r="AR57" s="1150"/>
    </row>
    <row customHeight="1" ht="11.25">
      <c r="M58" s="1523"/>
      <c r="N58" s="1523"/>
      <c r="O58" s="898"/>
      <c r="P58" s="1518"/>
      <c r="Q58" s="1518"/>
      <c r="R58" s="1518"/>
      <c r="S58" s="1518"/>
      <c r="AN58" s="1518"/>
      <c r="AO58" s="1518"/>
      <c r="AP58" s="1518"/>
      <c r="AQ58" s="1518"/>
      <c r="AR58" s="1518"/>
    </row>
    <row customHeight="1" ht="27">
      <c r="O59" s="898"/>
      <c r="S59" s="1618"/>
      <c r="T59" s="2526"/>
      <c r="U59" s="2526"/>
      <c r="V59" s="2526"/>
      <c r="W59" s="2526"/>
      <c r="X59" s="2526"/>
      <c r="Y59" s="2526"/>
      <c r="Z59" s="2526"/>
      <c r="AA59" s="2526"/>
      <c r="AB59" s="2526"/>
      <c r="AC59" s="2526"/>
      <c r="AD59" s="2526"/>
      <c r="AE59" s="2526"/>
      <c r="AF59" s="2526"/>
      <c r="AG59" s="2526"/>
      <c r="AH59" s="2526"/>
      <c r="AI59" s="2526"/>
      <c r="AJ59" s="2526"/>
      <c r="AK59" s="2526"/>
      <c r="AL59" s="2526"/>
      <c r="AM59" s="2526"/>
    </row>
    <row customHeight="1" ht="64.5">
      <c r="O60" s="898"/>
      <c r="P60" s="1669"/>
      <c r="T60" s="2526"/>
      <c r="U60" s="2526"/>
      <c r="V60" s="2526"/>
      <c r="W60" s="2526"/>
      <c r="X60" s="2526"/>
      <c r="Y60" s="2526"/>
      <c r="Z60" s="2526"/>
      <c r="AA60" s="2526"/>
      <c r="AB60" s="2526"/>
      <c r="AC60" s="2526"/>
      <c r="AD60" s="2526"/>
      <c r="AE60" s="2526"/>
      <c r="AF60" s="2526"/>
      <c r="AG60" s="2526"/>
      <c r="AH60" s="2526"/>
      <c r="AI60" s="2526"/>
      <c r="AJ60" s="2526"/>
      <c r="AK60" s="2526"/>
      <c r="AL60" s="2526"/>
      <c r="AM60" s="2526"/>
    </row>
    <row customHeight="1" ht="14.25">
      <c r="O61" s="898"/>
    </row>
    <row customHeight="1" ht="18">
      <c r="O62" s="898"/>
      <c r="P62" s="1694"/>
      <c r="S62" s="1618"/>
      <c r="T62" s="2526"/>
      <c r="U62" s="2526"/>
      <c r="V62" s="2526"/>
      <c r="W62" s="2526"/>
      <c r="X62" s="2526"/>
      <c r="Y62" s="2526"/>
      <c r="Z62" s="2526"/>
      <c r="AA62" s="2526"/>
      <c r="AB62" s="2526"/>
      <c r="AC62" s="2526"/>
      <c r="AD62" s="2526"/>
      <c r="AE62" s="2526"/>
      <c r="AF62" s="2526"/>
      <c r="AG62" s="2526"/>
      <c r="AH62" s="2526"/>
      <c r="AI62" s="2526"/>
      <c r="AJ62" s="2526"/>
      <c r="AK62" s="2526"/>
      <c r="AL62" s="2526"/>
      <c r="AM62" s="2526"/>
    </row>
    <row customHeight="1" ht="18">
      <c r="O63" s="898"/>
      <c r="P63" s="1694"/>
      <c r="T63" s="2526"/>
      <c r="U63" s="2526"/>
      <c r="V63" s="2526"/>
      <c r="W63" s="2526"/>
      <c r="X63" s="2526"/>
      <c r="Y63" s="2526"/>
      <c r="Z63" s="2526"/>
      <c r="AA63" s="2526"/>
      <c r="AB63" s="2526"/>
      <c r="AC63" s="2526"/>
      <c r="AD63" s="2526"/>
      <c r="AE63" s="2526"/>
      <c r="AF63" s="2526"/>
      <c r="AG63" s="2526"/>
      <c r="AH63" s="2526"/>
      <c r="AI63" s="2526"/>
      <c r="AJ63" s="2526"/>
      <c r="AK63" s="2526"/>
      <c r="AL63" s="2526"/>
      <c r="AM63" s="2526"/>
    </row>
    <row customHeight="1" ht="27.75">
      <c r="O64" s="898"/>
      <c r="P64" s="1694"/>
      <c r="S64" s="1618"/>
      <c r="T64" s="2526"/>
      <c r="U64" s="2526"/>
      <c r="V64" s="2526"/>
      <c r="W64" s="2526"/>
      <c r="X64" s="2526"/>
      <c r="Y64" s="2526"/>
      <c r="Z64" s="2526"/>
      <c r="AA64" s="2526"/>
      <c r="AB64" s="2526"/>
      <c r="AC64" s="2526"/>
      <c r="AD64" s="2526"/>
      <c r="AE64" s="2526"/>
      <c r="AF64" s="2526"/>
      <c r="AG64" s="2526"/>
      <c r="AH64" s="2526"/>
      <c r="AI64" s="2526"/>
      <c r="AJ64" s="2526"/>
      <c r="AK64" s="2526"/>
      <c r="AL64" s="2526"/>
      <c r="AM64" s="2526"/>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1E93B-A0D1-685B-F60C-A21AC63F94B6}"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217" width="10.57421875" hidden="1"/>
    <col min="2" max="2" style="32217" width="11.00390625" hidden="1" customWidth="1"/>
    <col min="3" max="3" style="32217" width="10.57421875" hidden="1"/>
    <col min="4" max="4" style="32217" width="11.8515625" hidden="1" customWidth="1"/>
    <col min="5" max="5" style="32217" width="10.00390625" hidden="1" customWidth="1"/>
    <col min="6" max="6" style="32217" width="8.7109375" hidden="1" customWidth="1"/>
    <col min="7" max="7" style="32217" width="7.57421875" hidden="1" customWidth="1"/>
    <col min="8" max="8" style="32217" width="11.421875" hidden="1" customWidth="1"/>
    <col min="9" max="9" style="32217" width="12.00390625" hidden="1" customWidth="1"/>
    <col min="10" max="10" style="32217" width="9.8515625" hidden="1" customWidth="1"/>
    <col min="11" max="11" style="32217" width="11.421875" hidden="1" customWidth="1"/>
    <col min="12" max="12" style="32297" width="19.140625" hidden="1" customWidth="1"/>
    <col min="13" max="14" style="32298" width="12.28125" hidden="1" customWidth="1"/>
    <col min="15" max="15" style="32298" width="23.421875" hidden="1" customWidth="1"/>
    <col min="16" max="16" style="32310" width="3.7109375" customWidth="1"/>
    <col min="17" max="18" style="32300" width="3.7109375" customWidth="1"/>
    <col min="19" max="19" style="32301" width="12.7109375" customWidth="1"/>
    <col min="20" max="20" style="32302" width="32.00390625" customWidth="1"/>
    <col min="21" max="21" style="32302" width="0.140625" customWidth="1"/>
    <col min="22" max="22" style="32302" width="24.7109375" hidden="1" customWidth="1"/>
    <col min="23" max="23" style="32302" width="0.140625" hidden="1" customWidth="1"/>
    <col min="24" max="25" style="32302" width="24.7109375" hidden="1" customWidth="1"/>
    <col min="26" max="26" style="32302" width="11.7109375" hidden="1" customWidth="1"/>
    <col min="27" max="27" style="32302" width="3.7109375" hidden="1" customWidth="1"/>
    <col min="28" max="28" style="32302" width="11.7109375" hidden="1" customWidth="1"/>
    <col min="29" max="29" style="32302" width="8.57421875" hidden="1" customWidth="1"/>
    <col min="30" max="30" style="32302" width="24.7109375" customWidth="1"/>
    <col min="31" max="31" style="32302" width="0.140625" customWidth="1"/>
    <col min="32" max="33" style="32302" width="24.7109375" customWidth="1"/>
    <col min="34" max="34" style="32302" width="11.7109375" customWidth="1"/>
    <col min="35" max="35" style="32302" width="3.7109375" customWidth="1"/>
    <col min="36" max="36" style="32302" width="11.7109375" customWidth="1"/>
    <col min="37" max="37" style="32302" width="8.57421875" hidden="1" customWidth="1"/>
    <col min="38" max="38" style="32302" width="4.7109375" customWidth="1"/>
    <col min="39" max="39" style="32302" width="115.7109375" customWidth="1"/>
    <col min="40" max="41" style="32289" width="10.57421875"/>
    <col min="42" max="42" style="32289" width="11.140625" customWidth="1"/>
    <col min="43" max="44" style="32289" width="10.57421875"/>
  </cols>
  <sheetData>
    <row customHeight="1" ht="14.25" hidden="1">
      <c r="Y1" s="688"/>
      <c r="Z1" s="688"/>
      <c r="AG1" s="688"/>
      <c r="AH1" s="688"/>
    </row>
    <row customHeight="1" ht="21" hidden="1">
      <c r="A2" s="1729"/>
      <c r="B2" s="1729"/>
      <c r="C2" s="1729"/>
      <c r="D2" s="1729"/>
      <c r="E2" s="2527">
        <v>1</v>
      </c>
      <c r="F2" s="1729"/>
      <c r="G2" s="1729"/>
      <c r="H2" s="1729"/>
      <c r="I2" s="1729"/>
      <c r="J2" s="1729"/>
      <c r="K2" s="1729"/>
      <c r="L2" s="1730"/>
      <c r="M2" s="1731"/>
      <c r="N2" s="1731"/>
      <c r="O2" s="1731"/>
      <c r="P2" s="722"/>
      <c r="Q2" s="721"/>
      <c r="R2" s="716"/>
      <c r="S2" s="1702">
        <f>INDEX(PT_DIFFERENTIATION_NUM_NTAR,MATCH(A2,PT_DIFFERENTIATION_NTAR_ID,0))</f>
      </c>
      <c r="T2" s="659" t="s">
        <v>131</v>
      </c>
      <c r="U2" s="661"/>
      <c r="V2" s="2521"/>
      <c r="W2" s="2522"/>
      <c r="X2" s="2522"/>
      <c r="Y2" s="2522"/>
      <c r="Z2" s="2522"/>
      <c r="AA2" s="2522"/>
      <c r="AB2" s="2522"/>
      <c r="AC2" s="2523"/>
      <c r="AD2" s="2521">
        <f>INDEX(PT_DIFFERENTIATION_NTAR,MATCH(A2,PT_DIFFERENTIATION_NTAR_ID,0))</f>
      </c>
      <c r="AE2" s="2522"/>
      <c r="AF2" s="2522"/>
      <c r="AG2" s="2522"/>
      <c r="AH2" s="2522"/>
      <c r="AI2" s="2522"/>
      <c r="AJ2" s="2522"/>
      <c r="AK2" s="2522"/>
      <c r="AL2" s="2523"/>
      <c r="AM2" s="1623" t="s">
        <v>437</v>
      </c>
      <c r="AO2" s="861"/>
      <c r="AP2" s="861" t="str">
        <f>IF(T2="","",T2)</f>
        <v>Наименование тарифа</v>
      </c>
      <c r="AQ2" s="861"/>
      <c r="AR2" s="861"/>
    </row>
    <row customHeight="1" ht="21" hidden="1">
      <c r="A3" s="1729"/>
      <c r="B3" s="1729"/>
      <c r="C3" s="1729"/>
      <c r="D3" s="1729"/>
      <c r="E3" s="2528"/>
      <c r="F3" s="2527">
        <v>1</v>
      </c>
      <c r="G3" s="1729"/>
      <c r="H3" s="1729"/>
      <c r="I3" s="1729"/>
      <c r="J3" s="1729"/>
      <c r="K3" s="1729"/>
      <c r="L3" s="1730"/>
      <c r="M3" s="1731"/>
      <c r="N3" s="1731"/>
      <c r="O3" s="1731"/>
      <c r="P3" s="1698"/>
      <c r="Q3" s="713"/>
      <c r="R3" s="714"/>
      <c r="S3" s="1702">
        <f>INDEX(PT_DIFFERENTIATION_NUM_TER,MATCH(B3,PT_DIFFERENTIATION_TER_ID,0))</f>
      </c>
      <c r="T3" s="669" t="s">
        <v>438</v>
      </c>
      <c r="U3" s="661"/>
      <c r="V3" s="2521"/>
      <c r="W3" s="2522"/>
      <c r="X3" s="2522"/>
      <c r="Y3" s="2522"/>
      <c r="Z3" s="2522"/>
      <c r="AA3" s="2522"/>
      <c r="AB3" s="2522"/>
      <c r="AC3" s="2523"/>
      <c r="AD3" s="2521">
        <f>INDEX(PT_DIFFERENTIATION_TER,MATCH(B3,PT_DIFFERENTIATION_TER_ID,0))</f>
      </c>
      <c r="AE3" s="2522"/>
      <c r="AF3" s="2522"/>
      <c r="AG3" s="2522"/>
      <c r="AH3" s="2522"/>
      <c r="AI3" s="2522"/>
      <c r="AJ3" s="2522"/>
      <c r="AK3" s="2522"/>
      <c r="AL3" s="2523"/>
      <c r="AM3" s="1623" t="s">
        <v>439</v>
      </c>
      <c r="AO3" s="861"/>
      <c r="AP3" s="861" t="str">
        <f>IF(T3="","",T3)</f>
        <v>Территория действия тарифа</v>
      </c>
      <c r="AQ3" s="861"/>
      <c r="AR3" s="861"/>
    </row>
    <row customHeight="1" ht="23.25" hidden="1">
      <c r="A4" s="1729"/>
      <c r="B4" s="1729"/>
      <c r="C4" s="1729"/>
      <c r="D4" s="1729"/>
      <c r="E4" s="2528"/>
      <c r="F4" s="2528"/>
      <c r="G4" s="2527">
        <v>1</v>
      </c>
      <c r="H4" s="1729"/>
      <c r="I4" s="1729"/>
      <c r="J4" s="1729"/>
      <c r="K4" s="1729"/>
      <c r="L4" s="1730"/>
      <c r="M4" s="1731"/>
      <c r="N4" s="1731"/>
      <c r="O4" s="1731"/>
      <c r="P4" s="715"/>
      <c r="Q4" s="713"/>
      <c r="R4" s="714"/>
      <c r="S4" s="1702">
        <f>INDEX(PT_DIFFERENTIATION_NUM_CS,MATCH(C4,PT_DIFFERENTIATION_CS_ID,0))</f>
      </c>
      <c r="T4" s="670" t="s">
        <v>440</v>
      </c>
      <c r="U4" s="661"/>
      <c r="V4" s="2521"/>
      <c r="W4" s="2522"/>
      <c r="X4" s="2522"/>
      <c r="Y4" s="2522"/>
      <c r="Z4" s="2522"/>
      <c r="AA4" s="2522"/>
      <c r="AB4" s="2522"/>
      <c r="AC4" s="2523"/>
      <c r="AD4" s="2521">
        <f>INDEX(PT_DIFFERENTIATION_CS,MATCH(C4,PT_DIFFERENTIATION_CS_ID,0))</f>
      </c>
      <c r="AE4" s="2522"/>
      <c r="AF4" s="2522"/>
      <c r="AG4" s="2522"/>
      <c r="AH4" s="2522"/>
      <c r="AI4" s="2522"/>
      <c r="AJ4" s="2522"/>
      <c r="AK4" s="2522"/>
      <c r="AL4" s="2523"/>
      <c r="AM4" s="1623" t="s">
        <v>441</v>
      </c>
      <c r="AO4" s="861"/>
      <c r="AP4" s="861" t="str">
        <f>IF(T4="","",T4)</f>
        <v>Наименование системы теплоснабжения </v>
      </c>
      <c r="AQ4" s="861"/>
      <c r="AR4" s="861"/>
    </row>
    <row customHeight="1" ht="21" hidden="1">
      <c r="A5" s="1729"/>
      <c r="B5" s="1729"/>
      <c r="C5" s="1729"/>
      <c r="D5" s="1729"/>
      <c r="E5" s="2528"/>
      <c r="F5" s="2528"/>
      <c r="G5" s="2528"/>
      <c r="H5" s="2527">
        <v>1</v>
      </c>
      <c r="I5" s="1729"/>
      <c r="J5" s="1729"/>
      <c r="K5" s="1729"/>
      <c r="L5" s="1730"/>
      <c r="M5" s="1731"/>
      <c r="N5" s="1731"/>
      <c r="O5" s="1731"/>
      <c r="P5" s="715"/>
      <c r="Q5" s="713"/>
      <c r="R5" s="714"/>
      <c r="S5" s="1702">
        <f>INDEX(PT_DIFFERENTIATION_NUM_IST_TE,MATCH(D5,PT_DIFFERENTIATION_IST_TE_ID,0))</f>
      </c>
      <c r="T5" s="671" t="s">
        <v>442</v>
      </c>
      <c r="U5" s="661"/>
      <c r="V5" s="2521"/>
      <c r="W5" s="2522"/>
      <c r="X5" s="2522"/>
      <c r="Y5" s="2522"/>
      <c r="Z5" s="2522"/>
      <c r="AA5" s="2522"/>
      <c r="AB5" s="2522"/>
      <c r="AC5" s="2523"/>
      <c r="AD5" s="2521">
        <f>INDEX(PT_DIFFERENTIATION_IST_TE,MATCH(D5,PT_DIFFERENTIATION_IST_TE_ID,0))</f>
      </c>
      <c r="AE5" s="2522"/>
      <c r="AF5" s="2522"/>
      <c r="AG5" s="2522"/>
      <c r="AH5" s="2522"/>
      <c r="AI5" s="2522"/>
      <c r="AJ5" s="2522"/>
      <c r="AK5" s="2522"/>
      <c r="AL5" s="2523"/>
      <c r="AM5" s="1623" t="s">
        <v>443</v>
      </c>
      <c r="AO5" s="861"/>
      <c r="AP5" s="861" t="str">
        <f>IF(T5="","",T5)</f>
        <v>Источник тепловой энергии  </v>
      </c>
      <c r="AQ5" s="861"/>
      <c r="AR5" s="861"/>
    </row>
    <row customHeight="1" ht="47.25" hidden="1">
      <c r="A6" s="1729"/>
      <c r="B6" s="1729"/>
      <c r="C6" s="1729"/>
      <c r="D6" s="1729"/>
      <c r="E6" s="2528"/>
      <c r="F6" s="2528"/>
      <c r="G6" s="2528"/>
      <c r="H6" s="2528"/>
      <c r="I6" s="2529">
        <f>S5&amp;".1"</f>
      </c>
      <c r="J6" s="1729"/>
      <c r="K6" s="1729"/>
      <c r="L6" s="1730" t="s">
        <v>444</v>
      </c>
      <c r="M6" s="898"/>
      <c r="P6" s="2531">
        <v>1</v>
      </c>
      <c r="Q6" s="1697"/>
      <c r="R6" s="717"/>
      <c r="S6" s="1702">
        <f>$I6</f>
      </c>
      <c r="T6" s="646" t="s">
        <v>445</v>
      </c>
      <c r="U6" s="661"/>
      <c r="V6" s="2515"/>
      <c r="W6" s="2516"/>
      <c r="X6" s="2516"/>
      <c r="Y6" s="2516"/>
      <c r="Z6" s="2516"/>
      <c r="AA6" s="2516"/>
      <c r="AB6" s="2516"/>
      <c r="AC6" s="2517"/>
      <c r="AD6" s="2515"/>
      <c r="AE6" s="2516"/>
      <c r="AF6" s="2516"/>
      <c r="AG6" s="2516"/>
      <c r="AH6" s="2516"/>
      <c r="AI6" s="2516"/>
      <c r="AJ6" s="2516"/>
      <c r="AK6" s="2516"/>
      <c r="AL6" s="2517"/>
      <c r="AM6" s="1623" t="s">
        <v>446</v>
      </c>
      <c r="AO6" s="861"/>
      <c r="AP6" s="861" t="str">
        <f>IF(T6="","",T6)</f>
        <v>Схема подключения теплопотребляющей установки к коллектору источника тепловой энергии</v>
      </c>
      <c r="AQ6" s="861"/>
      <c r="AR6" s="861"/>
    </row>
    <row customHeight="1" ht="21" hidden="1">
      <c r="A7" s="1729"/>
      <c r="B7" s="1729"/>
      <c r="C7" s="1729"/>
      <c r="D7" s="1729"/>
      <c r="E7" s="2528"/>
      <c r="F7" s="2528"/>
      <c r="G7" s="2528"/>
      <c r="H7" s="2528"/>
      <c r="I7" s="2530"/>
      <c r="J7" s="2529">
        <f>I6&amp;".1"</f>
      </c>
      <c r="K7" s="1729"/>
      <c r="L7" s="1730" t="s">
        <v>447</v>
      </c>
      <c r="M7" s="898"/>
      <c r="N7" s="1732"/>
      <c r="P7" s="2531"/>
      <c r="Q7" s="2531">
        <v>1</v>
      </c>
      <c r="R7" s="718"/>
      <c r="S7" s="1702">
        <f>$J7</f>
      </c>
      <c r="T7" s="647" t="s">
        <v>448</v>
      </c>
      <c r="U7" s="661"/>
      <c r="V7" s="2515"/>
      <c r="W7" s="2516"/>
      <c r="X7" s="2516"/>
      <c r="Y7" s="2516"/>
      <c r="Z7" s="2516"/>
      <c r="AA7" s="2516"/>
      <c r="AB7" s="2516"/>
      <c r="AC7" s="2517"/>
      <c r="AD7" s="2515"/>
      <c r="AE7" s="2516"/>
      <c r="AF7" s="2516"/>
      <c r="AG7" s="2516"/>
      <c r="AH7" s="2516"/>
      <c r="AI7" s="2516"/>
      <c r="AJ7" s="2516"/>
      <c r="AK7" s="2516"/>
      <c r="AL7" s="2517"/>
      <c r="AM7" s="1623" t="s">
        <v>449</v>
      </c>
      <c r="AO7" s="861"/>
      <c r="AP7" s="861" t="str">
        <f>IF(T7="","",T7)</f>
        <v>Группа потребителей</v>
      </c>
      <c r="AQ7" s="861"/>
      <c r="AR7" s="861"/>
    </row>
    <row customHeight="1" ht="21" hidden="1">
      <c r="A8" s="1729"/>
      <c r="B8" s="1729"/>
      <c r="C8" s="1729"/>
      <c r="D8" s="1729"/>
      <c r="E8" s="2528"/>
      <c r="F8" s="2528"/>
      <c r="G8" s="2528"/>
      <c r="H8" s="2528"/>
      <c r="I8" s="2530"/>
      <c r="J8" s="2530"/>
      <c r="K8" s="2529">
        <f>J7&amp;".1"</f>
      </c>
      <c r="L8" s="1730" t="s">
        <v>450</v>
      </c>
      <c r="M8" s="898"/>
      <c r="N8" s="1732"/>
      <c r="O8" s="1732"/>
      <c r="P8" s="2531"/>
      <c r="Q8" s="2531"/>
      <c r="R8" s="718">
        <v>1</v>
      </c>
      <c r="S8" s="1702">
        <f>$K8</f>
      </c>
      <c r="T8" s="1713"/>
      <c r="U8" s="661"/>
      <c r="V8" s="1112"/>
      <c r="W8" s="686"/>
      <c r="X8" s="1112"/>
      <c r="Y8" s="1622"/>
      <c r="Z8" s="2532"/>
      <c r="AA8" s="2402" t="s">
        <v>66</v>
      </c>
      <c r="AB8" s="2532"/>
      <c r="AC8" s="2402" t="s">
        <v>66</v>
      </c>
      <c r="AD8" s="1112"/>
      <c r="AE8" s="686"/>
      <c r="AF8" s="1112"/>
      <c r="AG8" s="1622"/>
      <c r="AH8" s="2532"/>
      <c r="AI8" s="2402" t="s">
        <v>66</v>
      </c>
      <c r="AJ8" s="2532"/>
      <c r="AK8" s="2402" t="s">
        <v>66</v>
      </c>
      <c r="AL8" s="686"/>
      <c r="AM8" s="2557" t="s">
        <v>451</v>
      </c>
      <c r="AN8" s="872">
        <f>STRCHECKDATE(V9:AL9)</f>
      </c>
      <c r="AO8" s="861"/>
      <c r="AP8" s="861" t="str">
        <f>IF(T8="","",T8)</f>
        <v/>
      </c>
      <c r="AQ8" s="861"/>
      <c r="AR8" s="861"/>
    </row>
    <row customHeight="1" ht="0.75" hidden="1">
      <c r="A9" s="1729"/>
      <c r="B9" s="1729"/>
      <c r="C9" s="1729"/>
      <c r="D9" s="1729"/>
      <c r="E9" s="2528"/>
      <c r="F9" s="2528"/>
      <c r="G9" s="2528"/>
      <c r="H9" s="2528"/>
      <c r="I9" s="2530"/>
      <c r="J9" s="2530"/>
      <c r="K9" s="2529"/>
      <c r="L9" s="1730"/>
      <c r="M9" s="898"/>
      <c r="N9" s="1732"/>
      <c r="O9" s="1732"/>
      <c r="P9" s="2531"/>
      <c r="Q9" s="2531"/>
      <c r="R9" s="718"/>
      <c r="S9" s="1708"/>
      <c r="T9" s="661"/>
      <c r="U9" s="661"/>
      <c r="V9" s="686"/>
      <c r="W9" s="686"/>
      <c r="X9" s="686"/>
      <c r="Y9" s="689" t="str">
        <f>Z8&amp;"-"&amp;AB8</f>
        <v>-</v>
      </c>
      <c r="Z9" s="2533"/>
      <c r="AA9" s="2402"/>
      <c r="AB9" s="2533"/>
      <c r="AC9" s="2402"/>
      <c r="AD9" s="686"/>
      <c r="AE9" s="686"/>
      <c r="AF9" s="686"/>
      <c r="AG9" s="689" t="str">
        <f>AH8&amp;"-"&amp;AJ8</f>
        <v>-</v>
      </c>
      <c r="AH9" s="2533"/>
      <c r="AI9" s="2402"/>
      <c r="AJ9" s="2533"/>
      <c r="AK9" s="2402"/>
      <c r="AL9" s="686"/>
      <c r="AM9" s="2558"/>
      <c r="AO9" s="861"/>
      <c r="AP9" s="861" t="str">
        <f>IF(T9="","",T9)</f>
        <v/>
      </c>
      <c r="AQ9" s="861"/>
      <c r="AR9" s="861"/>
    </row>
    <row customHeight="1" ht="15" hidden="1">
      <c r="A10" s="1729"/>
      <c r="B10" s="1729"/>
      <c r="C10" s="1729"/>
      <c r="D10" s="1729"/>
      <c r="E10" s="2528"/>
      <c r="F10" s="2528"/>
      <c r="G10" s="2528"/>
      <c r="H10" s="2528"/>
      <c r="I10" s="2530"/>
      <c r="J10" s="2529"/>
      <c r="K10" s="1729"/>
      <c r="L10" s="1730"/>
      <c r="M10" s="898"/>
      <c r="N10" s="1732"/>
      <c r="P10" s="2531"/>
      <c r="Q10" s="2531"/>
      <c r="R10" s="717"/>
      <c r="S10" s="1644"/>
      <c r="T10" s="649" t="s">
        <v>452</v>
      </c>
      <c r="U10" s="728"/>
      <c r="V10" s="728"/>
      <c r="W10" s="728"/>
      <c r="X10" s="728"/>
      <c r="Y10" s="728"/>
      <c r="Z10" s="728"/>
      <c r="AA10" s="728"/>
      <c r="AB10" s="728"/>
      <c r="AC10" s="728"/>
      <c r="AD10" s="728"/>
      <c r="AE10" s="728"/>
      <c r="AF10" s="728"/>
      <c r="AG10" s="728"/>
      <c r="AH10" s="728"/>
      <c r="AI10" s="728"/>
      <c r="AJ10" s="728"/>
      <c r="AK10" s="728"/>
      <c r="AL10" s="685"/>
      <c r="AM10" s="2559"/>
      <c r="AO10" s="861"/>
      <c r="AP10" s="861" t="str">
        <f>IF(T10="","",T10)</f>
        <v>Добавить вид теплоносителя (параметры теплоносителя)</v>
      </c>
      <c r="AQ10" s="861"/>
      <c r="AR10" s="861"/>
    </row>
    <row customHeight="1" ht="15" hidden="1">
      <c r="A11" s="1729"/>
      <c r="B11" s="1729"/>
      <c r="C11" s="1729"/>
      <c r="D11" s="1729"/>
      <c r="E11" s="2528"/>
      <c r="F11" s="2528"/>
      <c r="G11" s="2528"/>
      <c r="H11" s="2528"/>
      <c r="I11" s="2529"/>
      <c r="J11" s="1729"/>
      <c r="K11" s="1729"/>
      <c r="L11" s="1730"/>
      <c r="M11" s="898"/>
      <c r="P11" s="2531"/>
      <c r="Q11" s="1697"/>
      <c r="R11" s="717"/>
      <c r="S11" s="1644"/>
      <c r="T11" s="648" t="s">
        <v>453</v>
      </c>
      <c r="U11" s="728"/>
      <c r="V11" s="728"/>
      <c r="W11" s="728"/>
      <c r="X11" s="728"/>
      <c r="Y11" s="728"/>
      <c r="Z11" s="728"/>
      <c r="AA11" s="728"/>
      <c r="AB11" s="728"/>
      <c r="AC11" s="727"/>
      <c r="AD11" s="728"/>
      <c r="AE11" s="728"/>
      <c r="AF11" s="728"/>
      <c r="AG11" s="728"/>
      <c r="AH11" s="728"/>
      <c r="AI11" s="728"/>
      <c r="AJ11" s="728"/>
      <c r="AK11" s="727"/>
      <c r="AL11" s="728"/>
      <c r="AM11" s="664"/>
      <c r="AO11" s="861"/>
      <c r="AP11" s="861" t="str">
        <f>IF(T11="","",T11)</f>
        <v>Добавить группу потребителей</v>
      </c>
      <c r="AQ11" s="861"/>
      <c r="AR11" s="861"/>
    </row>
    <row customHeight="1" ht="14.25" hidden="1">
      <c r="A12" s="1729"/>
      <c r="B12" s="1729"/>
      <c r="C12" s="1729"/>
      <c r="D12" s="1729"/>
      <c r="E12" s="2528"/>
      <c r="F12" s="2528"/>
      <c r="G12" s="2528"/>
      <c r="H12" s="2527"/>
      <c r="I12" s="1729"/>
      <c r="J12" s="1729"/>
      <c r="K12" s="1729"/>
      <c r="L12" s="1730"/>
      <c r="M12" s="1731"/>
      <c r="N12" s="1731"/>
      <c r="O12" s="898"/>
      <c r="P12" s="721"/>
      <c r="Q12" s="736"/>
      <c r="R12" s="716"/>
      <c r="S12" s="1644"/>
      <c r="T12" s="726" t="s">
        <v>454</v>
      </c>
      <c r="U12" s="728"/>
      <c r="V12" s="728"/>
      <c r="W12" s="728"/>
      <c r="X12" s="728"/>
      <c r="Y12" s="728"/>
      <c r="Z12" s="728"/>
      <c r="AA12" s="728"/>
      <c r="AB12" s="728"/>
      <c r="AC12" s="727"/>
      <c r="AD12" s="728"/>
      <c r="AE12" s="728"/>
      <c r="AF12" s="728"/>
      <c r="AG12" s="728"/>
      <c r="AH12" s="728"/>
      <c r="AI12" s="728"/>
      <c r="AJ12" s="728"/>
      <c r="AK12" s="727"/>
      <c r="AL12" s="728"/>
      <c r="AM12" s="664"/>
      <c r="AO12" s="861"/>
      <c r="AP12" s="861" t="str">
        <f>IF(T12="","",T12)</f>
        <v>Добавить схему подключения</v>
      </c>
      <c r="AQ12" s="861"/>
      <c r="AR12" s="861"/>
    </row>
    <row s="32198" customFormat="1" customHeight="1" ht="0.75" hidden="1">
      <c r="A13" s="1680"/>
      <c r="B13" s="1680"/>
      <c r="C13" s="1680"/>
      <c r="D13" s="1680"/>
      <c r="E13" s="2528"/>
      <c r="F13" s="2528"/>
      <c r="G13" s="2527"/>
      <c r="H13" s="1680"/>
      <c r="I13" s="1680"/>
      <c r="J13" s="1680"/>
      <c r="K13" s="1680"/>
      <c r="L13" s="1705"/>
      <c r="M13" s="1681"/>
      <c r="N13" s="1681"/>
      <c r="P13" s="1682"/>
      <c r="Q13" s="1683"/>
      <c r="R13" s="1682"/>
      <c r="S13" s="1684"/>
      <c r="T13" s="1685" t="s">
        <v>455</v>
      </c>
      <c r="U13" s="1686"/>
      <c r="V13" s="1686"/>
      <c r="W13" s="1686"/>
      <c r="X13" s="1686"/>
      <c r="Y13" s="1686"/>
      <c r="Z13" s="1686"/>
      <c r="AA13" s="1686"/>
      <c r="AB13" s="1686"/>
      <c r="AC13" s="1686"/>
      <c r="AD13" s="1686"/>
      <c r="AE13" s="1686"/>
      <c r="AF13" s="1686"/>
      <c r="AG13" s="1686"/>
      <c r="AH13" s="1686"/>
      <c r="AI13" s="1686"/>
      <c r="AJ13" s="1686"/>
      <c r="AK13" s="1686"/>
      <c r="AL13" s="1686"/>
      <c r="AM13" s="1686"/>
      <c r="AO13" s="1150"/>
      <c r="AP13" s="1150" t="str">
        <f>IF(T13="","",T13)</f>
        <v>Добавить источник для дифференциации</v>
      </c>
      <c r="AQ13" s="1150"/>
      <c r="AR13" s="1150"/>
    </row>
    <row s="32198" customFormat="1" customHeight="1" ht="0.75" hidden="1">
      <c r="A14" s="1680"/>
      <c r="B14" s="1680"/>
      <c r="C14" s="1680"/>
      <c r="D14" s="1680"/>
      <c r="E14" s="2528"/>
      <c r="F14" s="2527"/>
      <c r="G14" s="1680"/>
      <c r="H14" s="1680"/>
      <c r="I14" s="1680"/>
      <c r="J14" s="1680"/>
      <c r="K14" s="1680"/>
      <c r="L14" s="1705"/>
      <c r="M14" s="1687"/>
      <c r="N14" s="1687"/>
      <c r="P14" s="1682"/>
      <c r="Q14" s="1683"/>
      <c r="R14" s="1682"/>
      <c r="S14" s="1688"/>
      <c r="T14" s="1689" t="s">
        <v>262</v>
      </c>
      <c r="U14" s="1690"/>
      <c r="V14" s="1690"/>
      <c r="W14" s="1690"/>
      <c r="X14" s="1690"/>
      <c r="Y14" s="1690"/>
      <c r="Z14" s="1690"/>
      <c r="AA14" s="1690"/>
      <c r="AB14" s="1690"/>
      <c r="AC14" s="1690"/>
      <c r="AD14" s="1690"/>
      <c r="AE14" s="1690"/>
      <c r="AF14" s="1690"/>
      <c r="AG14" s="1690"/>
      <c r="AH14" s="1690"/>
      <c r="AI14" s="1690"/>
      <c r="AJ14" s="1690"/>
      <c r="AK14" s="1690"/>
      <c r="AL14" s="1690"/>
      <c r="AM14" s="1690"/>
      <c r="AO14" s="1150"/>
      <c r="AP14" s="1150" t="str">
        <f>IF(T14="","",T14)</f>
        <v>Добавить централизованную систему для дифференциации</v>
      </c>
      <c r="AQ14" s="1150"/>
      <c r="AR14" s="1150"/>
    </row>
    <row s="32198" customFormat="1" customHeight="1" ht="0.75" hidden="1">
      <c r="A15" s="1680"/>
      <c r="B15" s="1680"/>
      <c r="C15" s="1680"/>
      <c r="D15" s="1680"/>
      <c r="E15" s="2527"/>
      <c r="F15" s="1680"/>
      <c r="G15" s="1680"/>
      <c r="H15" s="1680"/>
      <c r="I15" s="1680"/>
      <c r="J15" s="1680"/>
      <c r="K15" s="1680"/>
      <c r="L15" s="1705"/>
      <c r="M15" s="1687"/>
      <c r="N15" s="1687"/>
      <c r="P15" s="1682"/>
      <c r="Q15" s="1683"/>
      <c r="R15" s="1682"/>
      <c r="S15" s="1688"/>
      <c r="T15" s="1691" t="s">
        <v>270</v>
      </c>
      <c r="U15" s="1690"/>
      <c r="V15" s="1690"/>
      <c r="W15" s="1690"/>
      <c r="X15" s="1690"/>
      <c r="Y15" s="1690"/>
      <c r="Z15" s="1690"/>
      <c r="AA15" s="1690"/>
      <c r="AB15" s="1690"/>
      <c r="AC15" s="1690"/>
      <c r="AD15" s="1690"/>
      <c r="AE15" s="1690"/>
      <c r="AF15" s="1690"/>
      <c r="AG15" s="1690"/>
      <c r="AH15" s="1690"/>
      <c r="AI15" s="1690"/>
      <c r="AJ15" s="1690"/>
      <c r="AK15" s="1690"/>
      <c r="AL15" s="1690"/>
      <c r="AM15" s="1690"/>
      <c r="AO15" s="1150"/>
      <c r="AP15" s="1150" t="str">
        <f>IF(T15="","",T15)</f>
        <v>Добавить территорию для дифференциации</v>
      </c>
      <c r="AQ15" s="1150"/>
      <c r="AR15" s="1150"/>
    </row>
    <row customHeight="1" ht="14.25" hidden="1">
      <c r="AC16" s="688"/>
      <c r="AK16" s="688"/>
    </row>
    <row customHeight="1" ht="14.25" hidden="1">
      <c r="AD17" s="1726"/>
      <c r="AE17" s="1726"/>
      <c r="AF17" s="1726"/>
      <c r="AG17" s="1727"/>
      <c r="AH17" s="2525"/>
      <c r="AI17" s="2524" t="s">
        <v>66</v>
      </c>
      <c r="AJ17" s="2525"/>
      <c r="AK17" s="2524" t="s">
        <v>66</v>
      </c>
    </row>
    <row customHeight="1" ht="14.25" hidden="1">
      <c r="AD18" s="1726"/>
      <c r="AE18" s="1726"/>
      <c r="AF18" s="1726"/>
      <c r="AG18" s="689" t="str">
        <f>AH17&amp;"-"&amp;AJ17</f>
        <v>-</v>
      </c>
      <c r="AH18" s="2524"/>
      <c r="AI18" s="2524"/>
      <c r="AJ18" s="2524"/>
      <c r="AK18" s="2524"/>
    </row>
    <row customHeight="1" ht="14.25" hidden="1">
      <c r="AK19" s="688"/>
    </row>
    <row s="32217" customFormat="1" customHeight="1" ht="22.5" hidden="1">
      <c r="L20" s="1695"/>
      <c r="M20" s="1728"/>
      <c r="N20" s="1728"/>
      <c r="O20" s="1733" t="s">
        <v>456</v>
      </c>
      <c r="P20" s="1728"/>
      <c r="Q20" s="1737"/>
      <c r="R20" s="1737"/>
      <c r="S20" s="1090"/>
      <c r="Z20" s="1733"/>
      <c r="AB20" s="1733"/>
      <c r="AC20" s="1732"/>
      <c r="AH20" s="1733"/>
      <c r="AJ20" s="1733"/>
      <c r="AK20" s="1732"/>
      <c r="AN20" s="872"/>
      <c r="AO20" s="872"/>
      <c r="AP20" s="872"/>
      <c r="AQ20" s="872"/>
      <c r="AR20" s="872"/>
    </row>
    <row s="32217" customFormat="1" customHeight="1" ht="14.25" hidden="1">
      <c r="L21" s="1695"/>
      <c r="M21" s="1728"/>
      <c r="N21" s="1728"/>
      <c r="O21" s="1728"/>
      <c r="P21" s="1728"/>
      <c r="Q21" s="1737"/>
      <c r="R21" s="1737"/>
      <c r="S21" s="1090"/>
      <c r="AC21" s="1732"/>
      <c r="AK21" s="1732"/>
      <c r="AN21" s="872"/>
      <c r="AO21" s="872"/>
      <c r="AP21" s="872"/>
      <c r="AQ21" s="872"/>
      <c r="AR21" s="872"/>
    </row>
    <row s="32217" customFormat="1" customHeight="1" ht="14.25" hidden="1">
      <c r="L22" s="1695"/>
      <c r="M22" s="1728"/>
      <c r="N22" s="1728"/>
      <c r="O22" s="1730" t="s">
        <v>457</v>
      </c>
      <c r="P22" s="1728"/>
      <c r="Q22" s="1737"/>
      <c r="R22" s="1737"/>
      <c r="S22" s="1090"/>
      <c r="T22" s="1523" t="s">
        <v>458</v>
      </c>
      <c r="AA22" s="547" t="s">
        <v>459</v>
      </c>
      <c r="AC22" s="547" t="s">
        <v>460</v>
      </c>
      <c r="AD22" s="1523" t="s">
        <v>458</v>
      </c>
      <c r="AI22" s="547" t="s">
        <v>461</v>
      </c>
      <c r="AK22" s="547" t="s">
        <v>460</v>
      </c>
      <c r="AN22" s="872"/>
      <c r="AO22" s="872"/>
      <c r="AP22" s="872"/>
      <c r="AQ22" s="872"/>
      <c r="AR22" s="872"/>
    </row>
    <row customHeight="1" ht="14.25" hidden="1">
      <c r="O23" s="1730"/>
    </row>
    <row customHeight="1" ht="14.25" hidden="1">
      <c r="O24" s="1730"/>
    </row>
    <row customHeight="1" ht="14.25">
      <c r="Q25" s="737"/>
      <c r="R25" s="737"/>
      <c r="S25" s="1641"/>
      <c r="T25" s="724"/>
      <c r="U25" s="724"/>
      <c r="V25" s="870"/>
      <c r="W25" s="870"/>
      <c r="X25" s="870"/>
      <c r="Y25" s="870"/>
      <c r="Z25" s="870"/>
      <c r="AA25" s="870"/>
      <c r="AB25" s="870"/>
      <c r="AC25" s="870"/>
      <c r="AD25" s="870"/>
      <c r="AE25" s="870"/>
      <c r="AF25" s="870"/>
      <c r="AG25" s="870"/>
      <c r="AH25" s="870"/>
      <c r="AI25" s="870"/>
      <c r="AJ25" s="870"/>
      <c r="AK25" s="870"/>
    </row>
    <row customHeight="1" ht="14.25">
      <c r="Q26" s="737"/>
      <c r="R26" s="737"/>
      <c r="S26" s="256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60"/>
      <c r="U26" s="2560"/>
      <c r="V26" s="2560"/>
      <c r="W26" s="2560"/>
      <c r="X26" s="2560"/>
      <c r="Y26" s="2560"/>
      <c r="Z26" s="2560"/>
      <c r="AA26" s="2560"/>
      <c r="AB26" s="2560"/>
      <c r="AC26" s="2560"/>
      <c r="AD26" s="2560"/>
      <c r="AE26" s="2560"/>
      <c r="AF26" s="2560"/>
      <c r="AG26" s="2560"/>
      <c r="AH26" s="2560"/>
      <c r="AI26" s="2560"/>
      <c r="AJ26" s="2560"/>
      <c r="AK26" s="1608"/>
    </row>
    <row customHeight="1" ht="14.25">
      <c r="Q27" s="737"/>
      <c r="R27" s="737"/>
      <c r="S27" s="2561" t="str">
        <f>IF(org=0,"Не определено",org)</f>
        <v>АО "Мурманэнергосбыт"</v>
      </c>
      <c r="T27" s="2561"/>
      <c r="U27" s="2561"/>
      <c r="V27" s="2561"/>
      <c r="W27" s="2561"/>
      <c r="X27" s="2561"/>
      <c r="Y27" s="2561"/>
      <c r="Z27" s="2561"/>
      <c r="AA27" s="2561"/>
      <c r="AB27" s="2561"/>
      <c r="AC27" s="2561"/>
      <c r="AD27" s="2561"/>
      <c r="AE27" s="2561"/>
      <c r="AF27" s="2561"/>
      <c r="AG27" s="2561"/>
      <c r="AH27" s="2561"/>
      <c r="AI27" s="2561"/>
      <c r="AJ27" s="2561"/>
      <c r="AK27" s="1608"/>
    </row>
    <row customHeight="1" ht="14.25">
      <c r="Q28" s="737"/>
      <c r="R28" s="737"/>
      <c r="S28" s="1641"/>
      <c r="T28" s="724"/>
      <c r="U28" s="724"/>
      <c r="V28" s="683"/>
      <c r="W28" s="683"/>
      <c r="X28" s="683"/>
      <c r="Y28" s="683"/>
      <c r="Z28" s="683"/>
      <c r="AA28" s="683"/>
      <c r="AB28" s="683"/>
      <c r="AC28" s="683"/>
      <c r="AD28" s="683"/>
      <c r="AE28" s="683"/>
      <c r="AF28" s="683"/>
      <c r="AG28" s="683"/>
      <c r="AH28" s="683"/>
      <c r="AI28" s="683"/>
      <c r="AJ28" s="683"/>
      <c r="AK28" s="683"/>
      <c r="AL28" s="870"/>
    </row>
    <row s="32230" customFormat="1" customHeight="1" ht="25.5">
      <c r="A29" s="1734"/>
      <c r="B29" s="1734"/>
      <c r="C29" s="1734"/>
      <c r="D29" s="1734"/>
      <c r="E29" s="1734"/>
      <c r="F29" s="1734"/>
      <c r="G29" s="1734"/>
      <c r="H29" s="1734"/>
      <c r="I29" s="1734"/>
      <c r="J29" s="1734"/>
      <c r="K29" s="1734"/>
      <c r="L29" s="1735"/>
      <c r="M29" s="1734"/>
      <c r="N29" s="1734"/>
      <c r="O29" s="1734"/>
      <c r="S29" s="2518" t="s">
        <v>38</v>
      </c>
      <c r="T29" s="2518"/>
      <c r="U29" s="1738"/>
      <c r="V29" s="2520" t="str">
        <f>IF(TITLE_NAME_OR_PR_CHANGE="",IF(TITLE_NAME_OR_PR="","",TITLE_NAME_OR_PR),TITLE_NAME_OR_PR_CHANGE)</f>
        <v>Комитет по тарифному регулированию Мурманской области</v>
      </c>
      <c r="W29" s="2520"/>
      <c r="X29" s="2520"/>
      <c r="Y29" s="2520"/>
      <c r="Z29" s="2520"/>
      <c r="AA29" s="2520"/>
      <c r="AB29" s="2520"/>
      <c r="AC29" s="687"/>
      <c r="AD29" s="2520" t="str">
        <f>IF(TITLE_NAME_OR_PR_CHANGE="",IF(TITLE_NAME_OR_PR="","",TITLE_NAME_OR_PR),TITLE_NAME_OR_PR_CHANGE)</f>
        <v>Комитет по тарифному регулированию Мурманской области</v>
      </c>
      <c r="AE29" s="2520"/>
      <c r="AF29" s="2520"/>
      <c r="AG29" s="2520"/>
      <c r="AH29" s="2520"/>
      <c r="AI29" s="2520"/>
      <c r="AJ29" s="2520"/>
      <c r="AK29" s="687"/>
      <c r="AL29" s="687"/>
      <c r="AM29" s="641"/>
      <c r="AN29" s="729"/>
      <c r="AO29" s="729"/>
      <c r="AP29" s="729"/>
      <c r="AQ29" s="729"/>
      <c r="AR29" s="729"/>
    </row>
    <row s="32230" customFormat="1" customHeight="1" ht="18.75">
      <c r="A30" s="1734"/>
      <c r="B30" s="1734"/>
      <c r="C30" s="1734"/>
      <c r="D30" s="1734"/>
      <c r="E30" s="1734"/>
      <c r="F30" s="1734"/>
      <c r="G30" s="1734"/>
      <c r="H30" s="1734"/>
      <c r="I30" s="1734"/>
      <c r="J30" s="1734"/>
      <c r="K30" s="1734"/>
      <c r="L30" s="1735"/>
      <c r="M30" s="1734"/>
      <c r="N30" s="1734"/>
      <c r="O30" s="1734"/>
      <c r="S30" s="2518" t="s">
        <v>462</v>
      </c>
      <c r="T30" s="2518"/>
      <c r="U30" s="1738"/>
      <c r="V30" s="2519" t="str">
        <f>IF(TITLE_DATE_PR_CHANGE="",IF(TITLE_DATE_PR="","",TITLE_DATE_PR),TITLE_DATE_PR_CHANGE)</f>
        <v>45280</v>
      </c>
      <c r="W30" s="2519"/>
      <c r="X30" s="2519"/>
      <c r="Y30" s="2519"/>
      <c r="Z30" s="2519"/>
      <c r="AA30" s="2519"/>
      <c r="AB30" s="2519"/>
      <c r="AC30" s="687"/>
      <c r="AD30" s="2519" t="str">
        <f>IF(TITLE_DATE_PR_CHANGE="",IF(TITLE_DATE_PR="","",TITLE_DATE_PR),TITLE_DATE_PR_CHANGE)</f>
        <v>45280</v>
      </c>
      <c r="AE30" s="2519"/>
      <c r="AF30" s="2519"/>
      <c r="AG30" s="2519"/>
      <c r="AH30" s="2519"/>
      <c r="AI30" s="2519"/>
      <c r="AJ30" s="2519"/>
      <c r="AK30" s="687"/>
      <c r="AL30" s="687"/>
      <c r="AM30" s="641"/>
      <c r="AN30" s="729"/>
      <c r="AO30" s="729"/>
      <c r="AP30" s="729"/>
      <c r="AQ30" s="729"/>
      <c r="AR30" s="729"/>
    </row>
    <row s="32230" customFormat="1" customHeight="1" ht="18.75">
      <c r="A31" s="1734"/>
      <c r="B31" s="1734"/>
      <c r="C31" s="1734"/>
      <c r="D31" s="1734"/>
      <c r="E31" s="1734"/>
      <c r="F31" s="1734"/>
      <c r="G31" s="1734"/>
      <c r="H31" s="1734"/>
      <c r="I31" s="1734"/>
      <c r="J31" s="1734"/>
      <c r="K31" s="1734"/>
      <c r="L31" s="1735"/>
      <c r="M31" s="1734"/>
      <c r="N31" s="1734"/>
      <c r="O31" s="1734"/>
      <c r="S31" s="2518" t="s">
        <v>463</v>
      </c>
      <c r="T31" s="2518"/>
      <c r="U31" s="1738"/>
      <c r="V31" s="2520" t="str">
        <f>IF(TITLE_NUMBER_PR_CHANGE="",IF(TITLE_NUMBER_PR="","",TITLE_NUMBER_PR),TITLE_NUMBER_PR_CHANGE)</f>
        <v>51/16</v>
      </c>
      <c r="W31" s="2520"/>
      <c r="X31" s="2520"/>
      <c r="Y31" s="2520"/>
      <c r="Z31" s="2520"/>
      <c r="AA31" s="2520"/>
      <c r="AB31" s="2520"/>
      <c r="AC31" s="687"/>
      <c r="AD31" s="2520" t="str">
        <f>IF(TITLE_NUMBER_PR_CHANGE="",IF(TITLE_NUMBER_PR="","",TITLE_NUMBER_PR),TITLE_NUMBER_PR_CHANGE)</f>
        <v>51/16</v>
      </c>
      <c r="AE31" s="2520"/>
      <c r="AF31" s="2520"/>
      <c r="AG31" s="2520"/>
      <c r="AH31" s="2520"/>
      <c r="AI31" s="2520"/>
      <c r="AJ31" s="2520"/>
      <c r="AK31" s="687"/>
      <c r="AL31" s="687"/>
      <c r="AM31" s="641"/>
      <c r="AN31" s="729"/>
      <c r="AO31" s="729"/>
      <c r="AP31" s="729"/>
      <c r="AQ31" s="729"/>
      <c r="AR31" s="729"/>
    </row>
    <row s="32230" customFormat="1" customHeight="1" ht="18.75">
      <c r="A32" s="1734"/>
      <c r="B32" s="1734"/>
      <c r="C32" s="1734"/>
      <c r="D32" s="1734"/>
      <c r="E32" s="1734"/>
      <c r="F32" s="1734"/>
      <c r="G32" s="1734"/>
      <c r="H32" s="1734"/>
      <c r="I32" s="1734"/>
      <c r="J32" s="1734"/>
      <c r="K32" s="1734"/>
      <c r="L32" s="1735"/>
      <c r="M32" s="1734"/>
      <c r="N32" s="1734"/>
      <c r="O32" s="1734"/>
      <c r="S32" s="2518" t="s">
        <v>40</v>
      </c>
      <c r="T32" s="2518"/>
      <c r="U32" s="1738"/>
      <c r="V32" s="2520" t="str">
        <f>IF(TITLE_IST_PUB_CHANGE="",IF(TITLE_IST_PUB="","",TITLE_IST_PUB),TITLE_IST_PUB_CHANGE)</f>
        <v>https://npa.gov-murman.ru/bitrix/components/b1team/govmurman.element.file/download.php?ID=508455&amp;FID=750728</v>
      </c>
      <c r="W32" s="2520"/>
      <c r="X32" s="2520"/>
      <c r="Y32" s="2520"/>
      <c r="Z32" s="2520"/>
      <c r="AA32" s="2520"/>
      <c r="AB32" s="2520"/>
      <c r="AC32" s="687"/>
      <c r="AD32" s="2520" t="str">
        <f>IF(TITLE_IST_PUB_CHANGE="",IF(TITLE_IST_PUB="","",TITLE_IST_PUB),TITLE_IST_PUB_CHANGE)</f>
        <v>https://npa.gov-murman.ru/bitrix/components/b1team/govmurman.element.file/download.php?ID=508455&amp;FID=750728</v>
      </c>
      <c r="AE32" s="2520"/>
      <c r="AF32" s="2520"/>
      <c r="AG32" s="2520"/>
      <c r="AH32" s="2520"/>
      <c r="AI32" s="2520"/>
      <c r="AJ32" s="2520"/>
      <c r="AK32" s="687"/>
      <c r="AL32" s="687"/>
      <c r="AM32" s="641"/>
      <c r="AN32" s="729"/>
      <c r="AO32" s="729"/>
      <c r="AP32" s="729"/>
      <c r="AQ32" s="729"/>
      <c r="AR32" s="729"/>
    </row>
    <row customHeight="1" ht="14.25" hidden="1">
      <c r="Q33" s="737"/>
      <c r="R33" s="737"/>
      <c r="S33" s="1641"/>
      <c r="T33" s="724"/>
      <c r="U33" s="724"/>
      <c r="V33" s="683"/>
      <c r="W33" s="683"/>
      <c r="X33" s="683"/>
      <c r="Y33" s="683"/>
      <c r="Z33" s="683"/>
      <c r="AA33" s="683"/>
      <c r="AB33" s="683"/>
      <c r="AC33" s="683"/>
      <c r="AD33" s="683"/>
      <c r="AE33" s="683"/>
      <c r="AF33" s="683"/>
      <c r="AG33" s="683"/>
      <c r="AH33" s="683"/>
      <c r="AI33" s="683"/>
      <c r="AJ33" s="683"/>
      <c r="AK33" s="683"/>
      <c r="AL33" s="870"/>
    </row>
    <row s="32230" customFormat="1" customHeight="1" ht="18.75" hidden="1">
      <c r="A34" s="1734"/>
      <c r="B34" s="1734"/>
      <c r="C34" s="1734"/>
      <c r="D34" s="1734"/>
      <c r="E34" s="1734"/>
      <c r="F34" s="1734"/>
      <c r="G34" s="1734"/>
      <c r="H34" s="1734"/>
      <c r="I34" s="1734"/>
      <c r="J34" s="1734"/>
      <c r="K34" s="1734"/>
      <c r="L34" s="1735"/>
      <c r="M34" s="1734"/>
      <c r="N34" s="1734"/>
      <c r="O34" s="1734"/>
      <c r="S34" s="2518" t="s">
        <v>464</v>
      </c>
      <c r="T34" s="2518"/>
      <c r="U34" s="1738"/>
      <c r="V34" s="2519" t="str">
        <f>IF(TITLE_DATE_PR_CHANGE="",IF(TITLE_DATE_PR="","",TITLE_DATE_PR),TITLE_DATE_PR_CHANGE)</f>
        <v>45280</v>
      </c>
      <c r="W34" s="2519"/>
      <c r="X34" s="2519"/>
      <c r="Y34" s="2519"/>
      <c r="Z34" s="2519"/>
      <c r="AA34" s="2519"/>
      <c r="AB34" s="2519"/>
      <c r="AC34" s="687"/>
      <c r="AD34" s="2519" t="str">
        <f>IF(TITLE_DATE_PR_CHANGE="",IF(TITLE_DATE_PR="","",TITLE_DATE_PR),TITLE_DATE_PR_CHANGE)</f>
        <v>45280</v>
      </c>
      <c r="AE34" s="2519"/>
      <c r="AF34" s="2519"/>
      <c r="AG34" s="2519"/>
      <c r="AH34" s="2519"/>
      <c r="AI34" s="2519"/>
      <c r="AJ34" s="2519"/>
      <c r="AK34" s="687"/>
      <c r="AL34" s="687"/>
      <c r="AM34" s="641"/>
      <c r="AN34" s="729"/>
      <c r="AO34" s="729"/>
      <c r="AP34" s="729"/>
      <c r="AQ34" s="729"/>
      <c r="AR34" s="729"/>
    </row>
    <row s="32230" customFormat="1" customHeight="1" ht="18.75" hidden="1">
      <c r="A35" s="1734"/>
      <c r="B35" s="1734"/>
      <c r="C35" s="1734"/>
      <c r="D35" s="1734"/>
      <c r="E35" s="1734"/>
      <c r="F35" s="1734"/>
      <c r="G35" s="1734"/>
      <c r="H35" s="1734"/>
      <c r="I35" s="1734"/>
      <c r="J35" s="1734"/>
      <c r="K35" s="1734"/>
      <c r="L35" s="1735"/>
      <c r="M35" s="1734"/>
      <c r="N35" s="1734"/>
      <c r="O35" s="1734"/>
      <c r="S35" s="2518" t="s">
        <v>465</v>
      </c>
      <c r="T35" s="2518"/>
      <c r="U35" s="1738"/>
      <c r="V35" s="2520" t="str">
        <f>IF(TITLE_NUMBER_PR_CHANGE="",IF(TITLE_NUMBER_PR="","",TITLE_NUMBER_PR),TITLE_NUMBER_PR_CHANGE)</f>
        <v>51/16</v>
      </c>
      <c r="W35" s="2520"/>
      <c r="X35" s="2520"/>
      <c r="Y35" s="2520"/>
      <c r="Z35" s="2520"/>
      <c r="AA35" s="2520"/>
      <c r="AB35" s="2520"/>
      <c r="AC35" s="687"/>
      <c r="AD35" s="2520" t="str">
        <f>IF(TITLE_NUMBER_PR_CHANGE="",IF(TITLE_NUMBER_PR="","",TITLE_NUMBER_PR),TITLE_NUMBER_PR_CHANGE)</f>
        <v>51/16</v>
      </c>
      <c r="AE35" s="2520"/>
      <c r="AF35" s="2520"/>
      <c r="AG35" s="2520"/>
      <c r="AH35" s="2520"/>
      <c r="AI35" s="2520"/>
      <c r="AJ35" s="2520"/>
      <c r="AK35" s="687"/>
      <c r="AL35" s="687"/>
      <c r="AM35" s="641"/>
      <c r="AN35" s="729"/>
      <c r="AO35" s="729"/>
      <c r="AP35" s="729"/>
      <c r="AQ35" s="729"/>
      <c r="AR35" s="729"/>
    </row>
    <row s="32230" customFormat="1" customHeight="1" ht="0">
      <c r="A36" s="1734"/>
      <c r="B36" s="1734"/>
      <c r="C36" s="1734"/>
      <c r="D36" s="1734"/>
      <c r="E36" s="1734"/>
      <c r="F36" s="1734"/>
      <c r="G36" s="1734"/>
      <c r="H36" s="1734"/>
      <c r="I36" s="1734"/>
      <c r="J36" s="1734"/>
      <c r="K36" s="1734"/>
      <c r="L36" s="1735"/>
      <c r="M36" s="1734"/>
      <c r="N36" s="1734"/>
      <c r="O36" s="1734"/>
      <c r="S36" s="684"/>
      <c r="T36" s="684"/>
      <c r="U36" s="1706"/>
      <c r="V36" s="687"/>
      <c r="W36" s="687"/>
      <c r="X36" s="687"/>
      <c r="Y36" s="687"/>
      <c r="Z36" s="687"/>
      <c r="AA36" s="687"/>
      <c r="AB36" s="687"/>
      <c r="AC36" s="639" t="s">
        <v>466</v>
      </c>
      <c r="AD36" s="687"/>
      <c r="AE36" s="687"/>
      <c r="AF36" s="687"/>
      <c r="AG36" s="687"/>
      <c r="AH36" s="687"/>
      <c r="AI36" s="687"/>
      <c r="AJ36" s="687"/>
      <c r="AK36" s="639" t="s">
        <v>466</v>
      </c>
      <c r="AN36" s="729"/>
      <c r="AO36" s="729"/>
      <c r="AP36" s="729"/>
      <c r="AQ36" s="729"/>
      <c r="AR36" s="729"/>
    </row>
    <row customHeight="1" ht="14.25">
      <c r="Q37" s="737"/>
      <c r="R37" s="737"/>
      <c r="S37" s="1641"/>
      <c r="T37" s="724"/>
      <c r="U37" s="1609"/>
      <c r="V37" s="2544"/>
      <c r="W37" s="2544"/>
      <c r="X37" s="2544"/>
      <c r="Y37" s="2544"/>
      <c r="Z37" s="2544"/>
      <c r="AA37" s="2544"/>
      <c r="AB37" s="2544"/>
      <c r="AC37" s="2544"/>
      <c r="AD37" s="2544"/>
      <c r="AE37" s="2544"/>
      <c r="AF37" s="2544"/>
      <c r="AG37" s="2544"/>
      <c r="AH37" s="2544"/>
      <c r="AI37" s="2544"/>
      <c r="AJ37" s="2544"/>
      <c r="AK37" s="2544"/>
    </row>
    <row customHeight="1" ht="14.25">
      <c r="Q38" s="737"/>
      <c r="R38" s="737"/>
      <c r="S38" s="2392" t="s">
        <v>341</v>
      </c>
      <c r="T38" s="2392"/>
      <c r="U38" s="2392"/>
      <c r="V38" s="2392"/>
      <c r="W38" s="2392"/>
      <c r="X38" s="2392"/>
      <c r="Y38" s="2392"/>
      <c r="Z38" s="2392"/>
      <c r="AA38" s="2392"/>
      <c r="AB38" s="2392"/>
      <c r="AC38" s="2392"/>
      <c r="AD38" s="2392"/>
      <c r="AE38" s="2392"/>
      <c r="AF38" s="2392"/>
      <c r="AG38" s="2392"/>
      <c r="AH38" s="2392"/>
      <c r="AI38" s="2392"/>
      <c r="AJ38" s="2392"/>
      <c r="AK38" s="2392"/>
      <c r="AL38" s="2392"/>
      <c r="AM38" s="2392" t="s">
        <v>342</v>
      </c>
    </row>
    <row customHeight="1" ht="14.25">
      <c r="Q39" s="737"/>
      <c r="R39" s="737"/>
      <c r="S39" s="2545" t="s">
        <v>87</v>
      </c>
      <c r="T39" s="2482" t="s">
        <v>467</v>
      </c>
      <c r="U39" s="662"/>
      <c r="V39" s="2546" t="s">
        <v>468</v>
      </c>
      <c r="W39" s="2547"/>
      <c r="X39" s="2547"/>
      <c r="Y39" s="2547"/>
      <c r="Z39" s="2547"/>
      <c r="AA39" s="2547"/>
      <c r="AB39" s="2548"/>
      <c r="AC39" s="2549" t="s">
        <v>469</v>
      </c>
      <c r="AD39" s="2546" t="s">
        <v>468</v>
      </c>
      <c r="AE39" s="2547"/>
      <c r="AF39" s="2547"/>
      <c r="AG39" s="2547"/>
      <c r="AH39" s="2547"/>
      <c r="AI39" s="2547"/>
      <c r="AJ39" s="2548"/>
      <c r="AK39" s="2549" t="s">
        <v>470</v>
      </c>
      <c r="AL39" s="2552" t="s">
        <v>471</v>
      </c>
      <c r="AM39" s="2392"/>
    </row>
    <row customHeight="1" ht="33.75">
      <c r="Q40" s="737"/>
      <c r="R40" s="737"/>
      <c r="S40" s="2545"/>
      <c r="T40" s="2482"/>
      <c r="U40" s="1393"/>
      <c r="V40" s="2555" t="s">
        <v>472</v>
      </c>
      <c r="W40" s="2536" t="s">
        <v>473</v>
      </c>
      <c r="X40" s="2538" t="s">
        <v>474</v>
      </c>
      <c r="Y40" s="2540"/>
      <c r="Z40" s="2538" t="s">
        <v>487</v>
      </c>
      <c r="AA40" s="2539"/>
      <c r="AB40" s="2540"/>
      <c r="AC40" s="2550"/>
      <c r="AD40" s="2555" t="s">
        <v>472</v>
      </c>
      <c r="AE40" s="2536" t="s">
        <v>473</v>
      </c>
      <c r="AF40" s="2538" t="s">
        <v>474</v>
      </c>
      <c r="AG40" s="2540"/>
      <c r="AH40" s="2538" t="s">
        <v>475</v>
      </c>
      <c r="AI40" s="2539"/>
      <c r="AJ40" s="2540"/>
      <c r="AK40" s="2550"/>
      <c r="AL40" s="2553"/>
      <c r="AM40" s="2392"/>
    </row>
    <row customHeight="1" ht="33.75">
      <c r="A41" s="1736"/>
      <c r="B41" s="1736" t="s">
        <v>143</v>
      </c>
      <c r="C41" s="1736" t="s">
        <v>144</v>
      </c>
      <c r="D41" s="1736" t="s">
        <v>145</v>
      </c>
      <c r="E41" s="1730" t="s">
        <v>476</v>
      </c>
      <c r="F41" s="1730" t="s">
        <v>477</v>
      </c>
      <c r="G41" s="1730" t="s">
        <v>478</v>
      </c>
      <c r="H41" s="1730" t="s">
        <v>479</v>
      </c>
      <c r="I41" s="1730" t="s">
        <v>480</v>
      </c>
      <c r="J41" s="1730" t="s">
        <v>481</v>
      </c>
      <c r="K41" s="1730" t="s">
        <v>482</v>
      </c>
      <c r="L41" s="1730" t="s">
        <v>457</v>
      </c>
      <c r="Q41" s="737"/>
      <c r="R41" s="737"/>
      <c r="S41" s="2545"/>
      <c r="T41" s="2482"/>
      <c r="U41" s="663"/>
      <c r="V41" s="2556"/>
      <c r="W41" s="2537"/>
      <c r="X41" s="1587" t="s">
        <v>483</v>
      </c>
      <c r="Y41" s="1587" t="s">
        <v>484</v>
      </c>
      <c r="Z41" s="1704" t="s">
        <v>485</v>
      </c>
      <c r="AA41" s="2541" t="s">
        <v>486</v>
      </c>
      <c r="AB41" s="2542"/>
      <c r="AC41" s="2551"/>
      <c r="AD41" s="2556"/>
      <c r="AE41" s="2537"/>
      <c r="AF41" s="1587" t="s">
        <v>483</v>
      </c>
      <c r="AG41" s="1587" t="s">
        <v>484</v>
      </c>
      <c r="AH41" s="1704" t="s">
        <v>485</v>
      </c>
      <c r="AI41" s="2541" t="s">
        <v>486</v>
      </c>
      <c r="AJ41" s="2542"/>
      <c r="AK41" s="2551"/>
      <c r="AL41" s="2554"/>
      <c r="AM41" s="2392"/>
    </row>
    <row s="32049" customFormat="1" customHeight="1" ht="11.25" hidden="1">
      <c r="A42" s="1736"/>
      <c r="B42" s="1736"/>
      <c r="C42" s="1736"/>
      <c r="D42" s="1736"/>
      <c r="E42" s="1736"/>
      <c r="F42" s="1736"/>
      <c r="G42" s="1736"/>
      <c r="H42" s="1736"/>
      <c r="I42" s="1736"/>
      <c r="J42" s="1736"/>
      <c r="K42" s="1736"/>
      <c r="L42" s="1730"/>
      <c r="M42" s="1728"/>
      <c r="N42" s="1728"/>
      <c r="O42" s="1728"/>
      <c r="P42" s="1611"/>
      <c r="Q42" s="1612"/>
      <c r="R42" s="1619">
        <v>1</v>
      </c>
      <c r="S42" s="1643" t="s">
        <v>118</v>
      </c>
      <c r="T42" s="1620" t="s">
        <v>102</v>
      </c>
      <c r="U42" s="1610" t="str">
        <f>OFFSET(U42,0,-1)</f>
        <v>2</v>
      </c>
      <c r="V42" s="1701">
        <f>OFFSET(V42,0,-1)+1</f>
        <v>3</v>
      </c>
      <c r="W42" s="1701"/>
      <c r="X42" s="1701">
        <f>OFFSET(X42,0,-1)+1</f>
        <v>1</v>
      </c>
      <c r="Y42" s="1701">
        <f>OFFSET(Y42,0,-1)+1</f>
        <v>2</v>
      </c>
      <c r="Z42" s="1701">
        <f>OFFSET(Z42,0,-1)+1</f>
        <v>3</v>
      </c>
      <c r="AA42" s="2543">
        <f>OFFSET(AA42,0,-1)+1</f>
        <v>4</v>
      </c>
      <c r="AB42" s="2543"/>
      <c r="AC42" s="1701">
        <f>OFFSET(AC42,0,-2)+1</f>
        <v>5</v>
      </c>
      <c r="AD42" s="1701">
        <f>OFFSET(AD42,0,-1)+1</f>
        <v>6</v>
      </c>
      <c r="AE42" s="1701"/>
      <c r="AF42" s="1701">
        <f>OFFSET(AF42,0,-1)+1</f>
        <v>1</v>
      </c>
      <c r="AG42" s="1701">
        <f>OFFSET(AG42,0,-1)+1</f>
        <v>2</v>
      </c>
      <c r="AH42" s="1701">
        <f>OFFSET(AH42,0,-1)+1</f>
        <v>3</v>
      </c>
      <c r="AI42" s="2543">
        <f>OFFSET(AI42,0,-1)+1</f>
        <v>4</v>
      </c>
      <c r="AJ42" s="2543"/>
      <c r="AK42" s="1701">
        <f>OFFSET(AK42,0,-2)+1</f>
        <v>5</v>
      </c>
      <c r="AL42" s="1610">
        <f>OFFSET(AL42,0,-1)</f>
        <v>5</v>
      </c>
      <c r="AM42" s="1701">
        <f>OFFSET(AM42,0,-1)+1</f>
        <v>6</v>
      </c>
      <c r="AN42" s="872"/>
      <c r="AO42" s="872"/>
      <c r="AP42" s="872"/>
      <c r="AQ42" s="872"/>
      <c r="AR42" s="872"/>
    </row>
    <row customHeight="1" ht="21">
      <c r="A43" s="1729" t="s">
        <v>168</v>
      </c>
      <c r="B43" s="1729"/>
      <c r="C43" s="1729"/>
      <c r="D43" s="1729"/>
      <c r="E43" s="2527">
        <v>1</v>
      </c>
      <c r="F43" s="1729"/>
      <c r="G43" s="1729"/>
      <c r="H43" s="1729"/>
      <c r="I43" s="1729"/>
      <c r="J43" s="1729"/>
      <c r="K43" s="1729"/>
      <c r="L43" s="1730"/>
      <c r="M43" s="1731"/>
      <c r="N43" s="1731"/>
      <c r="O43" s="1731"/>
      <c r="P43" s="722"/>
      <c r="Q43" s="721"/>
      <c r="R43" s="716"/>
      <c r="S43" s="1702">
        <f>INDEX(PT_DIFFERENTIATION_NUM_NTAR,MATCH(A43,PT_DIFFERENTIATION_NTAR_ID,0))</f>
        <v>0</v>
      </c>
      <c r="T43" s="659" t="s">
        <v>131</v>
      </c>
      <c r="U43" s="661"/>
      <c r="V43" s="2521"/>
      <c r="W43" s="2522"/>
      <c r="X43" s="2522"/>
      <c r="Y43" s="2522"/>
      <c r="Z43" s="2522"/>
      <c r="AA43" s="2522"/>
      <c r="AB43" s="2522"/>
      <c r="AC43" s="2523"/>
      <c r="AD43" s="2521" t="str">
        <f>INDEX(PT_DIFFERENTIATION_NTAR,MATCH(A43,PT_DIFFERENTIATION_NTAR_ID,0))</f>
        <v/>
      </c>
      <c r="AE43" s="2522"/>
      <c r="AF43" s="2522"/>
      <c r="AG43" s="2522"/>
      <c r="AH43" s="2522"/>
      <c r="AI43" s="2522"/>
      <c r="AJ43" s="2522"/>
      <c r="AK43" s="2522"/>
      <c r="AL43" s="2523"/>
      <c r="AM43" s="16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861"/>
      <c r="AP43" s="861" t="str">
        <f>IF(T43="","",T43)</f>
        <v>Наименование тарифа</v>
      </c>
      <c r="AQ43" s="861"/>
      <c r="AR43" s="861"/>
    </row>
    <row customHeight="1" ht="21">
      <c r="A44" s="1729" t="s">
        <v>168</v>
      </c>
      <c r="B44" s="1729" t="s">
        <v>169</v>
      </c>
      <c r="C44" s="1729"/>
      <c r="D44" s="1729"/>
      <c r="E44" s="2528"/>
      <c r="F44" s="2527">
        <v>1</v>
      </c>
      <c r="G44" s="1729"/>
      <c r="H44" s="1729"/>
      <c r="I44" s="1729"/>
      <c r="J44" s="1729"/>
      <c r="K44" s="1729"/>
      <c r="L44" s="1730"/>
      <c r="M44" s="1731"/>
      <c r="N44" s="1731"/>
      <c r="O44" s="1731"/>
      <c r="P44" s="1698"/>
      <c r="Q44" s="713"/>
      <c r="R44" s="714"/>
      <c r="S44" s="1702" t="str">
        <f>INDEX(PT_DIFFERENTIATION_NUM_TER,MATCH(B44,PT_DIFFERENTIATION_TER_ID,0))</f>
        <v>.</v>
      </c>
      <c r="T44" s="669" t="s">
        <v>438</v>
      </c>
      <c r="U44" s="661"/>
      <c r="V44" s="2521"/>
      <c r="W44" s="2522"/>
      <c r="X44" s="2522"/>
      <c r="Y44" s="2522"/>
      <c r="Z44" s="2522"/>
      <c r="AA44" s="2522"/>
      <c r="AB44" s="2522"/>
      <c r="AC44" s="2523"/>
      <c r="AD44" s="2521" t="str">
        <f>INDEX(PT_DIFFERENTIATION_TER,MATCH(B44,PT_DIFFERENTIATION_TER_ID,0))</f>
        <v/>
      </c>
      <c r="AE44" s="2522"/>
      <c r="AF44" s="2522"/>
      <c r="AG44" s="2522"/>
      <c r="AH44" s="2522"/>
      <c r="AI44" s="2522"/>
      <c r="AJ44" s="2522"/>
      <c r="AK44" s="2522"/>
      <c r="AL44" s="2523"/>
      <c r="AM44" s="1623" t="s">
        <v>439</v>
      </c>
      <c r="AO44" s="861"/>
      <c r="AP44" s="861" t="str">
        <f>IF(T44="","",T44)</f>
        <v>Территория действия тарифа</v>
      </c>
      <c r="AQ44" s="861"/>
      <c r="AR44" s="861"/>
    </row>
    <row customHeight="1" ht="23.25">
      <c r="A45" s="1729" t="s">
        <v>168</v>
      </c>
      <c r="B45" s="1729" t="s">
        <v>169</v>
      </c>
      <c r="C45" s="1729" t="s">
        <v>170</v>
      </c>
      <c r="D45" s="1729"/>
      <c r="E45" s="2528"/>
      <c r="F45" s="2528"/>
      <c r="G45" s="2527">
        <v>1</v>
      </c>
      <c r="H45" s="1729"/>
      <c r="I45" s="1729"/>
      <c r="J45" s="1729"/>
      <c r="K45" s="1729"/>
      <c r="L45" s="1730"/>
      <c r="M45" s="1731"/>
      <c r="N45" s="1731"/>
      <c r="O45" s="1731"/>
      <c r="P45" s="715"/>
      <c r="Q45" s="713"/>
      <c r="R45" s="714"/>
      <c r="S45" s="1702" t="str">
        <f>INDEX(PT_DIFFERENTIATION_NUM_CS,MATCH(C45,PT_DIFFERENTIATION_CS_ID,0))</f>
        <v>..</v>
      </c>
      <c r="T45" s="670" t="s">
        <v>440</v>
      </c>
      <c r="U45" s="661"/>
      <c r="V45" s="2521"/>
      <c r="W45" s="2522"/>
      <c r="X45" s="2522"/>
      <c r="Y45" s="2522"/>
      <c r="Z45" s="2522"/>
      <c r="AA45" s="2522"/>
      <c r="AB45" s="2522"/>
      <c r="AC45" s="2523"/>
      <c r="AD45" s="2521" t="str">
        <f>INDEX(PT_DIFFERENTIATION_CS,MATCH(C45,PT_DIFFERENTIATION_CS_ID,0))</f>
        <v/>
      </c>
      <c r="AE45" s="2522"/>
      <c r="AF45" s="2522"/>
      <c r="AG45" s="2522"/>
      <c r="AH45" s="2522"/>
      <c r="AI45" s="2522"/>
      <c r="AJ45" s="2522"/>
      <c r="AK45" s="2522"/>
      <c r="AL45" s="2523"/>
      <c r="AM45" s="1623" t="s">
        <v>441</v>
      </c>
      <c r="AO45" s="861"/>
      <c r="AP45" s="861" t="str">
        <f>IF(T45="","",T45)</f>
        <v>Наименование системы теплоснабжения </v>
      </c>
      <c r="AQ45" s="861"/>
      <c r="AR45" s="861"/>
    </row>
    <row customHeight="1" ht="21">
      <c r="A46" s="1729" t="s">
        <v>168</v>
      </c>
      <c r="B46" s="1729" t="s">
        <v>169</v>
      </c>
      <c r="C46" s="1729" t="s">
        <v>170</v>
      </c>
      <c r="D46" s="1729" t="s">
        <v>171</v>
      </c>
      <c r="E46" s="2528"/>
      <c r="F46" s="2528"/>
      <c r="G46" s="2528"/>
      <c r="H46" s="2527">
        <v>1</v>
      </c>
      <c r="I46" s="1729"/>
      <c r="J46" s="1729"/>
      <c r="K46" s="1729"/>
      <c r="L46" s="1730"/>
      <c r="M46" s="1731"/>
      <c r="N46" s="1731"/>
      <c r="O46" s="1731"/>
      <c r="P46" s="715"/>
      <c r="Q46" s="713"/>
      <c r="R46" s="714"/>
      <c r="S46" s="1702" t="str">
        <f>INDEX(PT_DIFFERENTIATION_NUM_IST_TE,MATCH(D46,PT_DIFFERENTIATION_IST_TE_ID,0))</f>
        <v>...</v>
      </c>
      <c r="T46" s="671" t="s">
        <v>442</v>
      </c>
      <c r="U46" s="661"/>
      <c r="V46" s="2521"/>
      <c r="W46" s="2522"/>
      <c r="X46" s="2522"/>
      <c r="Y46" s="2522"/>
      <c r="Z46" s="2522"/>
      <c r="AA46" s="2522"/>
      <c r="AB46" s="2522"/>
      <c r="AC46" s="2523"/>
      <c r="AD46" s="2521" t="str">
        <f>INDEX(PT_DIFFERENTIATION_IST_TE,MATCH(D46,PT_DIFFERENTIATION_IST_TE_ID,0))</f>
        <v/>
      </c>
      <c r="AE46" s="2522"/>
      <c r="AF46" s="2522"/>
      <c r="AG46" s="2522"/>
      <c r="AH46" s="2522"/>
      <c r="AI46" s="2522"/>
      <c r="AJ46" s="2522"/>
      <c r="AK46" s="2522"/>
      <c r="AL46" s="2523"/>
      <c r="AM46" s="1623" t="s">
        <v>443</v>
      </c>
      <c r="AO46" s="861"/>
      <c r="AP46" s="861" t="str">
        <f>IF(T46="","",T46)</f>
        <v>Источник тепловой энергии  </v>
      </c>
      <c r="AQ46" s="861"/>
      <c r="AR46" s="861"/>
    </row>
    <row customHeight="1" ht="47.25">
      <c r="A47" s="1729" t="s">
        <v>168</v>
      </c>
      <c r="B47" s="1729" t="s">
        <v>169</v>
      </c>
      <c r="C47" s="1729" t="s">
        <v>170</v>
      </c>
      <c r="D47" s="1729" t="s">
        <v>171</v>
      </c>
      <c r="E47" s="2528"/>
      <c r="F47" s="2528"/>
      <c r="G47" s="2528"/>
      <c r="H47" s="2528"/>
      <c r="I47" s="2529" t="str">
        <f>S46&amp;".1"</f>
        <v>....1</v>
      </c>
      <c r="J47" s="1729"/>
      <c r="K47" s="1729"/>
      <c r="L47" s="1730" t="s">
        <v>444</v>
      </c>
      <c r="P47" s="2531">
        <v>1</v>
      </c>
      <c r="Q47" s="1697"/>
      <c r="R47" s="717"/>
      <c r="S47" s="1702" t="str">
        <f>$I47</f>
        <v>....1</v>
      </c>
      <c r="T47" s="646" t="s">
        <v>445</v>
      </c>
      <c r="U47" s="661"/>
      <c r="V47" s="2515"/>
      <c r="W47" s="2516"/>
      <c r="X47" s="2516"/>
      <c r="Y47" s="2516"/>
      <c r="Z47" s="2516"/>
      <c r="AA47" s="2516"/>
      <c r="AB47" s="2516"/>
      <c r="AC47" s="2517"/>
      <c r="AD47" s="2515"/>
      <c r="AE47" s="2516"/>
      <c r="AF47" s="2516"/>
      <c r="AG47" s="2516"/>
      <c r="AH47" s="2516"/>
      <c r="AI47" s="2516"/>
      <c r="AJ47" s="2516"/>
      <c r="AK47" s="2516"/>
      <c r="AL47" s="2517"/>
      <c r="AM47" s="1623" t="s">
        <v>446</v>
      </c>
      <c r="AO47" s="861"/>
      <c r="AP47" s="861" t="str">
        <f>IF(T47="","",T47)</f>
        <v>Схема подключения теплопотребляющей установки к коллектору источника тепловой энергии</v>
      </c>
      <c r="AQ47" s="861"/>
      <c r="AR47" s="861"/>
    </row>
    <row customHeight="1" ht="21">
      <c r="A48" s="1729" t="s">
        <v>168</v>
      </c>
      <c r="B48" s="1729" t="s">
        <v>169</v>
      </c>
      <c r="C48" s="1729" t="s">
        <v>170</v>
      </c>
      <c r="D48" s="1729" t="s">
        <v>171</v>
      </c>
      <c r="E48" s="2528"/>
      <c r="F48" s="2528"/>
      <c r="G48" s="2528"/>
      <c r="H48" s="2528"/>
      <c r="I48" s="2530"/>
      <c r="J48" s="2529" t="str">
        <f>I47&amp;".1"</f>
        <v>....1.1</v>
      </c>
      <c r="K48" s="1729"/>
      <c r="L48" s="1730" t="s">
        <v>447</v>
      </c>
      <c r="P48" s="2531"/>
      <c r="Q48" s="2531">
        <v>1</v>
      </c>
      <c r="R48" s="718"/>
      <c r="S48" s="1702" t="str">
        <f>$J48</f>
        <v>....1.1</v>
      </c>
      <c r="T48" s="647" t="s">
        <v>448</v>
      </c>
      <c r="U48" s="661"/>
      <c r="V48" s="2515"/>
      <c r="W48" s="2516"/>
      <c r="X48" s="2516"/>
      <c r="Y48" s="2516"/>
      <c r="Z48" s="2516"/>
      <c r="AA48" s="2516"/>
      <c r="AB48" s="2516"/>
      <c r="AC48" s="2517"/>
      <c r="AD48" s="2515"/>
      <c r="AE48" s="2516"/>
      <c r="AF48" s="2516"/>
      <c r="AG48" s="2516"/>
      <c r="AH48" s="2516"/>
      <c r="AI48" s="2516"/>
      <c r="AJ48" s="2516"/>
      <c r="AK48" s="2516"/>
      <c r="AL48" s="2517"/>
      <c r="AM48" s="1623" t="s">
        <v>449</v>
      </c>
      <c r="AO48" s="861"/>
      <c r="AP48" s="861" t="str">
        <f>IF(T48="","",T48)</f>
        <v>Группа потребителей</v>
      </c>
      <c r="AQ48" s="861"/>
      <c r="AR48" s="861"/>
    </row>
    <row customHeight="1" ht="21">
      <c r="A49" s="1729" t="s">
        <v>168</v>
      </c>
      <c r="B49" s="1729" t="s">
        <v>169</v>
      </c>
      <c r="C49" s="1729" t="s">
        <v>170</v>
      </c>
      <c r="D49" s="1729" t="s">
        <v>171</v>
      </c>
      <c r="E49" s="2528"/>
      <c r="F49" s="2528"/>
      <c r="G49" s="2528"/>
      <c r="H49" s="2528"/>
      <c r="I49" s="2530"/>
      <c r="J49" s="2530"/>
      <c r="K49" s="2529" t="str">
        <f>J48&amp;".1"</f>
        <v>....1.1.1</v>
      </c>
      <c r="L49" s="1730" t="s">
        <v>450</v>
      </c>
      <c r="P49" s="2531"/>
      <c r="Q49" s="2531"/>
      <c r="R49" s="718">
        <v>1</v>
      </c>
      <c r="S49" s="1702" t="str">
        <f>$K49</f>
        <v>....1.1.1</v>
      </c>
      <c r="T49" s="1713"/>
      <c r="U49" s="661"/>
      <c r="V49" s="1112"/>
      <c r="W49" s="686"/>
      <c r="X49" s="1112"/>
      <c r="Y49" s="1622"/>
      <c r="Z49" s="2532"/>
      <c r="AA49" s="2402" t="s">
        <v>66</v>
      </c>
      <c r="AB49" s="2532"/>
      <c r="AC49" s="2402" t="s">
        <v>66</v>
      </c>
      <c r="AD49" s="1112"/>
      <c r="AE49" s="686"/>
      <c r="AF49" s="1112"/>
      <c r="AG49" s="1622"/>
      <c r="AH49" s="2532"/>
      <c r="AI49" s="2402" t="s">
        <v>66</v>
      </c>
      <c r="AJ49" s="2534"/>
      <c r="AK49" s="2402" t="s">
        <v>66</v>
      </c>
      <c r="AL49" s="1714"/>
      <c r="AM49" s="2557" t="s">
        <v>451</v>
      </c>
      <c r="AN49" s="872">
        <f>STRCHECKDATE(V50:AL50)</f>
      </c>
      <c r="AO49" s="861"/>
      <c r="AP49" s="861" t="str">
        <f>IF(T49="","",T49)</f>
        <v/>
      </c>
      <c r="AQ49" s="861"/>
      <c r="AR49" s="861"/>
    </row>
    <row customHeight="1" ht="0.75">
      <c r="A50" s="1729" t="s">
        <v>168</v>
      </c>
      <c r="B50" s="1729" t="s">
        <v>169</v>
      </c>
      <c r="C50" s="1729" t="s">
        <v>170</v>
      </c>
      <c r="D50" s="1729" t="s">
        <v>171</v>
      </c>
      <c r="E50" s="2528"/>
      <c r="F50" s="2528"/>
      <c r="G50" s="2528"/>
      <c r="H50" s="2528"/>
      <c r="I50" s="2530"/>
      <c r="J50" s="2530"/>
      <c r="K50" s="2529"/>
      <c r="L50" s="1730"/>
      <c r="P50" s="2531"/>
      <c r="Q50" s="2531"/>
      <c r="R50" s="718"/>
      <c r="S50" s="1708"/>
      <c r="T50" s="661"/>
      <c r="U50" s="661"/>
      <c r="V50" s="686"/>
      <c r="W50" s="686"/>
      <c r="X50" s="686"/>
      <c r="Y50" s="689" t="str">
        <f>Z49&amp;"-"&amp;AB49</f>
        <v>-</v>
      </c>
      <c r="Z50" s="2533"/>
      <c r="AA50" s="2402"/>
      <c r="AB50" s="2533"/>
      <c r="AC50" s="2402"/>
      <c r="AD50" s="686"/>
      <c r="AE50" s="686"/>
      <c r="AF50" s="686"/>
      <c r="AG50" s="689" t="str">
        <f>AH49&amp;"-"&amp;AJ49</f>
        <v>-</v>
      </c>
      <c r="AH50" s="2533"/>
      <c r="AI50" s="2402"/>
      <c r="AJ50" s="2535"/>
      <c r="AK50" s="2402"/>
      <c r="AL50" s="1715"/>
      <c r="AM50" s="2558"/>
      <c r="AO50" s="861"/>
      <c r="AP50" s="861" t="str">
        <f>IF(T50="","",T50)</f>
        <v/>
      </c>
      <c r="AQ50" s="861"/>
      <c r="AR50" s="861"/>
    </row>
    <row customHeight="1" ht="11.25">
      <c r="A51" s="1729" t="s">
        <v>168</v>
      </c>
      <c r="B51" s="1729" t="s">
        <v>169</v>
      </c>
      <c r="C51" s="1729" t="s">
        <v>170</v>
      </c>
      <c r="D51" s="1729" t="s">
        <v>171</v>
      </c>
      <c r="E51" s="2528"/>
      <c r="F51" s="2528"/>
      <c r="G51" s="2528"/>
      <c r="H51" s="2528"/>
      <c r="I51" s="2530"/>
      <c r="J51" s="2529"/>
      <c r="K51" s="1729"/>
      <c r="L51" s="1730"/>
      <c r="P51" s="2531"/>
      <c r="Q51" s="2531"/>
      <c r="R51" s="717"/>
      <c r="S51" s="1644"/>
      <c r="T51" s="649" t="s">
        <v>452</v>
      </c>
      <c r="U51" s="728"/>
      <c r="V51" s="728"/>
      <c r="W51" s="728"/>
      <c r="X51" s="728"/>
      <c r="Y51" s="728"/>
      <c r="Z51" s="728"/>
      <c r="AA51" s="728"/>
      <c r="AB51" s="728"/>
      <c r="AC51" s="728"/>
      <c r="AD51" s="728"/>
      <c r="AE51" s="728"/>
      <c r="AF51" s="728"/>
      <c r="AG51" s="728"/>
      <c r="AH51" s="728"/>
      <c r="AI51" s="728"/>
      <c r="AJ51" s="728"/>
      <c r="AK51" s="728"/>
      <c r="AL51" s="685"/>
      <c r="AM51" s="2559"/>
      <c r="AO51" s="861"/>
      <c r="AP51" s="861" t="str">
        <f>IF(T51="","",T51)</f>
        <v>Добавить вид теплоносителя (параметры теплоносителя)</v>
      </c>
      <c r="AQ51" s="861"/>
      <c r="AR51" s="861"/>
    </row>
    <row customHeight="1" ht="11.25">
      <c r="A52" s="1729" t="s">
        <v>168</v>
      </c>
      <c r="B52" s="1729" t="s">
        <v>169</v>
      </c>
      <c r="C52" s="1729" t="s">
        <v>170</v>
      </c>
      <c r="D52" s="1729" t="s">
        <v>171</v>
      </c>
      <c r="E52" s="2528"/>
      <c r="F52" s="2528"/>
      <c r="G52" s="2528"/>
      <c r="H52" s="2528"/>
      <c r="I52" s="2529"/>
      <c r="J52" s="1729"/>
      <c r="K52" s="1729"/>
      <c r="L52" s="1730"/>
      <c r="P52" s="2531"/>
      <c r="Q52" s="1697"/>
      <c r="R52" s="717"/>
      <c r="S52" s="1644"/>
      <c r="T52" s="648" t="s">
        <v>453</v>
      </c>
      <c r="U52" s="728"/>
      <c r="V52" s="728"/>
      <c r="W52" s="728"/>
      <c r="X52" s="728"/>
      <c r="Y52" s="728"/>
      <c r="Z52" s="728"/>
      <c r="AA52" s="728"/>
      <c r="AB52" s="728"/>
      <c r="AC52" s="727"/>
      <c r="AD52" s="728"/>
      <c r="AE52" s="728"/>
      <c r="AF52" s="728"/>
      <c r="AG52" s="728"/>
      <c r="AH52" s="728"/>
      <c r="AI52" s="728"/>
      <c r="AJ52" s="728"/>
      <c r="AK52" s="727"/>
      <c r="AL52" s="728"/>
      <c r="AM52" s="664"/>
      <c r="AO52" s="861"/>
      <c r="AP52" s="861" t="str">
        <f>IF(T52="","",T52)</f>
        <v>Добавить группу потребителей</v>
      </c>
      <c r="AQ52" s="861"/>
      <c r="AR52" s="861"/>
    </row>
    <row customHeight="1" ht="14.25">
      <c r="A53" s="1729" t="s">
        <v>168</v>
      </c>
      <c r="B53" s="1729" t="s">
        <v>169</v>
      </c>
      <c r="C53" s="1729" t="s">
        <v>170</v>
      </c>
      <c r="D53" s="1729" t="s">
        <v>171</v>
      </c>
      <c r="E53" s="2528"/>
      <c r="F53" s="2528"/>
      <c r="G53" s="2528"/>
      <c r="H53" s="2527"/>
      <c r="I53" s="1729"/>
      <c r="J53" s="1729"/>
      <c r="K53" s="1729"/>
      <c r="L53" s="1730"/>
      <c r="M53" s="1731"/>
      <c r="N53" s="1731"/>
      <c r="O53" s="898"/>
      <c r="P53" s="721"/>
      <c r="Q53" s="736"/>
      <c r="R53" s="716"/>
      <c r="S53" s="1644"/>
      <c r="T53" s="726" t="s">
        <v>454</v>
      </c>
      <c r="U53" s="728"/>
      <c r="V53" s="728"/>
      <c r="W53" s="728"/>
      <c r="X53" s="728"/>
      <c r="Y53" s="728"/>
      <c r="Z53" s="728"/>
      <c r="AA53" s="728"/>
      <c r="AB53" s="728"/>
      <c r="AC53" s="727"/>
      <c r="AD53" s="728"/>
      <c r="AE53" s="728"/>
      <c r="AF53" s="728"/>
      <c r="AG53" s="728"/>
      <c r="AH53" s="728"/>
      <c r="AI53" s="728"/>
      <c r="AJ53" s="728"/>
      <c r="AK53" s="727"/>
      <c r="AL53" s="728"/>
      <c r="AM53" s="664"/>
      <c r="AO53" s="861"/>
      <c r="AP53" s="861" t="str">
        <f>IF(T53="","",T53)</f>
        <v>Добавить схему подключения</v>
      </c>
      <c r="AQ53" s="861"/>
      <c r="AR53" s="861"/>
    </row>
    <row s="32198" customFormat="1" customHeight="1" ht="0.75">
      <c r="A54" s="1709" t="s">
        <v>168</v>
      </c>
      <c r="B54" s="1709" t="s">
        <v>169</v>
      </c>
      <c r="C54" s="1709" t="s">
        <v>170</v>
      </c>
      <c r="D54" s="1680"/>
      <c r="E54" s="2528"/>
      <c r="F54" s="2528"/>
      <c r="G54" s="2527"/>
      <c r="H54" s="1680"/>
      <c r="I54" s="1680"/>
      <c r="J54" s="1680"/>
      <c r="K54" s="1680"/>
      <c r="L54" s="1705"/>
      <c r="M54" s="1681"/>
      <c r="N54" s="1681"/>
      <c r="P54" s="1682"/>
      <c r="Q54" s="1683"/>
      <c r="R54" s="1682"/>
      <c r="S54" s="1688"/>
      <c r="T54" s="1691" t="s">
        <v>455</v>
      </c>
      <c r="U54" s="1690"/>
      <c r="V54" s="1690"/>
      <c r="W54" s="1690"/>
      <c r="X54" s="1690"/>
      <c r="Y54" s="1690"/>
      <c r="Z54" s="1690"/>
      <c r="AA54" s="1690"/>
      <c r="AB54" s="1690"/>
      <c r="AC54" s="1690"/>
      <c r="AD54" s="1690"/>
      <c r="AE54" s="1690"/>
      <c r="AF54" s="1690"/>
      <c r="AG54" s="1690"/>
      <c r="AH54" s="1690"/>
      <c r="AI54" s="1690"/>
      <c r="AJ54" s="1690"/>
      <c r="AK54" s="1690"/>
      <c r="AL54" s="1690"/>
      <c r="AM54" s="1690"/>
      <c r="AO54" s="1150"/>
      <c r="AP54" s="1150" t="str">
        <f>IF(T54="","",T54)</f>
        <v>Добавить источник для дифференциации</v>
      </c>
      <c r="AQ54" s="1150"/>
      <c r="AR54" s="1150"/>
    </row>
    <row s="32198" customFormat="1" customHeight="1" ht="0.75">
      <c r="A55" s="1709" t="s">
        <v>168</v>
      </c>
      <c r="B55" s="1709" t="s">
        <v>169</v>
      </c>
      <c r="C55" s="1680"/>
      <c r="D55" s="1680"/>
      <c r="E55" s="2528"/>
      <c r="F55" s="2527"/>
      <c r="G55" s="1680"/>
      <c r="H55" s="1680"/>
      <c r="I55" s="1680"/>
      <c r="J55" s="1680"/>
      <c r="K55" s="1680"/>
      <c r="L55" s="1705"/>
      <c r="M55" s="1687"/>
      <c r="N55" s="1687"/>
      <c r="P55" s="1682"/>
      <c r="Q55" s="1683"/>
      <c r="R55" s="1682"/>
      <c r="S55" s="1688"/>
      <c r="T55" s="1691" t="s">
        <v>262</v>
      </c>
      <c r="U55" s="1690"/>
      <c r="V55" s="1690"/>
      <c r="W55" s="1690"/>
      <c r="X55" s="1690"/>
      <c r="Y55" s="1690"/>
      <c r="Z55" s="1690"/>
      <c r="AA55" s="1690"/>
      <c r="AB55" s="1690"/>
      <c r="AC55" s="1690"/>
      <c r="AD55" s="1690"/>
      <c r="AE55" s="1690"/>
      <c r="AF55" s="1690"/>
      <c r="AG55" s="1690"/>
      <c r="AH55" s="1690"/>
      <c r="AI55" s="1690"/>
      <c r="AJ55" s="1690"/>
      <c r="AK55" s="1690"/>
      <c r="AL55" s="1690"/>
      <c r="AM55" s="1690"/>
      <c r="AO55" s="1150"/>
      <c r="AP55" s="1150" t="str">
        <f>IF(T55="","",T55)</f>
        <v>Добавить централизованную систему для дифференциации</v>
      </c>
      <c r="AQ55" s="1150"/>
      <c r="AR55" s="1150"/>
    </row>
    <row s="32289" customFormat="1" customHeight="1" ht="0.75">
      <c r="A56" s="1709" t="s">
        <v>168</v>
      </c>
      <c r="B56" s="1709"/>
      <c r="C56" s="1709"/>
      <c r="D56" s="1709"/>
      <c r="E56" s="2527"/>
      <c r="F56" s="1709"/>
      <c r="G56" s="1709"/>
      <c r="H56" s="1709"/>
      <c r="I56" s="1709"/>
      <c r="J56" s="1709"/>
      <c r="K56" s="1709"/>
      <c r="L56" s="1712"/>
      <c r="M56" s="1687"/>
      <c r="N56" s="1687"/>
      <c r="O56" s="879"/>
      <c r="P56" s="741"/>
      <c r="Q56" s="1710"/>
      <c r="R56" s="741"/>
      <c r="S56" s="1688"/>
      <c r="T56" s="1691" t="s">
        <v>270</v>
      </c>
      <c r="U56" s="1690"/>
      <c r="V56" s="1690"/>
      <c r="W56" s="1690"/>
      <c r="X56" s="1690"/>
      <c r="Y56" s="1690"/>
      <c r="Z56" s="1690"/>
      <c r="AA56" s="1690"/>
      <c r="AB56" s="1690"/>
      <c r="AC56" s="1690"/>
      <c r="AD56" s="1690"/>
      <c r="AE56" s="1690"/>
      <c r="AF56" s="1690"/>
      <c r="AG56" s="1690"/>
      <c r="AH56" s="1690"/>
      <c r="AI56" s="1690"/>
      <c r="AJ56" s="1690"/>
      <c r="AK56" s="1690"/>
      <c r="AL56" s="1690"/>
      <c r="AM56" s="1690"/>
      <c r="AO56" s="861"/>
      <c r="AP56" s="861" t="str">
        <f>IF(T56="","",T56)</f>
        <v>Добавить территорию для дифференциации</v>
      </c>
      <c r="AQ56" s="861"/>
      <c r="AR56" s="861"/>
    </row>
    <row s="32198" customFormat="1" customHeight="1" ht="0.75">
      <c r="A57" s="1680"/>
      <c r="B57" s="1680"/>
      <c r="C57" s="1680"/>
      <c r="D57" s="1680"/>
      <c r="E57" s="1709"/>
      <c r="F57" s="1680"/>
      <c r="G57" s="1680"/>
      <c r="H57" s="1680"/>
      <c r="I57" s="1680"/>
      <c r="J57" s="1680"/>
      <c r="K57" s="1680"/>
      <c r="L57" s="1705"/>
      <c r="M57" s="1687"/>
      <c r="N57" s="1687"/>
      <c r="P57" s="1682"/>
      <c r="Q57" s="1683"/>
      <c r="R57" s="1682"/>
      <c r="S57" s="1688"/>
      <c r="T57" s="1691" t="s">
        <v>294</v>
      </c>
      <c r="U57" s="1690"/>
      <c r="V57" s="1690"/>
      <c r="W57" s="1690"/>
      <c r="X57" s="1690"/>
      <c r="Y57" s="1690"/>
      <c r="Z57" s="1690"/>
      <c r="AA57" s="1690"/>
      <c r="AB57" s="1690"/>
      <c r="AC57" s="1690"/>
      <c r="AD57" s="1690"/>
      <c r="AE57" s="1690"/>
      <c r="AF57" s="1690"/>
      <c r="AG57" s="1690"/>
      <c r="AH57" s="1690"/>
      <c r="AI57" s="1690"/>
      <c r="AJ57" s="1690"/>
      <c r="AK57" s="1690"/>
      <c r="AL57" s="1690"/>
      <c r="AM57" s="1690"/>
      <c r="AO57" s="1150"/>
      <c r="AP57" s="1150" t="str">
        <f>IF(T57="","",T57)</f>
        <v>Добавить наименование тарифа</v>
      </c>
      <c r="AQ57" s="1150"/>
      <c r="AR57" s="1150"/>
    </row>
    <row customHeight="1" ht="11.25">
      <c r="M58" s="1523"/>
      <c r="N58" s="1523"/>
      <c r="O58" s="898"/>
      <c r="P58" s="1518"/>
      <c r="Q58" s="1518"/>
      <c r="R58" s="1518"/>
      <c r="S58" s="1518"/>
      <c r="AN58" s="1518"/>
      <c r="AO58" s="1518"/>
      <c r="AP58" s="1518"/>
      <c r="AQ58" s="1518"/>
      <c r="AR58" s="1518"/>
    </row>
    <row customHeight="1" ht="27">
      <c r="O59" s="898"/>
      <c r="S59" s="1618"/>
      <c r="T59" s="2526"/>
      <c r="U59" s="2526"/>
      <c r="V59" s="2526"/>
      <c r="W59" s="2526"/>
      <c r="X59" s="2526"/>
      <c r="Y59" s="2526"/>
      <c r="Z59" s="2526"/>
      <c r="AA59" s="2526"/>
      <c r="AB59" s="2526"/>
      <c r="AC59" s="2526"/>
      <c r="AD59" s="2526"/>
      <c r="AE59" s="2526"/>
      <c r="AF59" s="2526"/>
      <c r="AG59" s="2526"/>
      <c r="AH59" s="2526"/>
      <c r="AI59" s="2526"/>
      <c r="AJ59" s="2526"/>
      <c r="AK59" s="2526"/>
      <c r="AL59" s="2526"/>
      <c r="AM59" s="2526"/>
    </row>
    <row customHeight="1" ht="62.25">
      <c r="O60" s="898"/>
      <c r="T60" s="2526"/>
      <c r="U60" s="2526"/>
      <c r="V60" s="2526"/>
      <c r="W60" s="2526"/>
      <c r="X60" s="2526"/>
      <c r="Y60" s="2526"/>
      <c r="Z60" s="2526"/>
      <c r="AA60" s="2526"/>
      <c r="AB60" s="2526"/>
      <c r="AC60" s="2526"/>
      <c r="AD60" s="2526"/>
      <c r="AE60" s="2526"/>
      <c r="AF60" s="2526"/>
      <c r="AG60" s="2526"/>
      <c r="AH60" s="2526"/>
      <c r="AI60" s="2526"/>
      <c r="AJ60" s="2526"/>
      <c r="AK60" s="2526"/>
      <c r="AL60" s="2526"/>
      <c r="AM60" s="2526"/>
    </row>
    <row customHeight="1" ht="14.25">
      <c r="O61" s="898"/>
    </row>
    <row customHeight="1" ht="18">
      <c r="O62" s="898"/>
      <c r="S62" s="1618"/>
      <c r="T62" s="2526"/>
      <c r="U62" s="2526"/>
      <c r="V62" s="2526"/>
      <c r="W62" s="2526"/>
      <c r="X62" s="2526"/>
      <c r="Y62" s="2526"/>
      <c r="Z62" s="2526"/>
      <c r="AA62" s="2526"/>
      <c r="AB62" s="2526"/>
      <c r="AC62" s="2526"/>
      <c r="AD62" s="2526"/>
      <c r="AE62" s="2526"/>
      <c r="AF62" s="2526"/>
      <c r="AG62" s="2526"/>
      <c r="AH62" s="2526"/>
      <c r="AI62" s="2526"/>
      <c r="AJ62" s="2526"/>
      <c r="AK62" s="2526"/>
      <c r="AL62" s="2526"/>
      <c r="AM62" s="2526"/>
    </row>
    <row customHeight="1" ht="18">
      <c r="O63" s="898"/>
      <c r="T63" s="2526"/>
      <c r="U63" s="2526"/>
      <c r="V63" s="2526"/>
      <c r="W63" s="2526"/>
      <c r="X63" s="2526"/>
      <c r="Y63" s="2526"/>
      <c r="Z63" s="2526"/>
      <c r="AA63" s="2526"/>
      <c r="AB63" s="2526"/>
      <c r="AC63" s="2526"/>
      <c r="AD63" s="2526"/>
      <c r="AE63" s="2526"/>
      <c r="AF63" s="2526"/>
      <c r="AG63" s="2526"/>
      <c r="AH63" s="2526"/>
      <c r="AI63" s="2526"/>
      <c r="AJ63" s="2526"/>
      <c r="AK63" s="2526"/>
      <c r="AL63" s="2526"/>
      <c r="AM63" s="2526"/>
    </row>
    <row customHeight="1" ht="27.75">
      <c r="O64" s="898"/>
      <c r="S64" s="1618"/>
      <c r="T64" s="2526"/>
      <c r="U64" s="2526"/>
      <c r="V64" s="2526"/>
      <c r="W64" s="2526"/>
      <c r="X64" s="2526"/>
      <c r="Y64" s="2526"/>
      <c r="Z64" s="2526"/>
      <c r="AA64" s="2526"/>
      <c r="AB64" s="2526"/>
      <c r="AC64" s="2526"/>
      <c r="AD64" s="2526"/>
      <c r="AE64" s="2526"/>
      <c r="AF64" s="2526"/>
      <c r="AG64" s="2526"/>
      <c r="AH64" s="2526"/>
      <c r="AI64" s="2526"/>
      <c r="AJ64" s="2526"/>
      <c r="AK64" s="2526"/>
      <c r="AL64" s="2526"/>
      <c r="AM64" s="2526"/>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9E9866-53F4-C653-1BDC-1377F9CC5346}" mc:Ignorable="x14ac xr xr2 xr3">
  <sheetPr>
    <tabColor theme="6" tint="0.4"/>
  </sheetPr>
  <dimension ref="A1:AR64"/>
  <sheetViews>
    <sheetView topLeftCell="A1" showGridLines="0" workbookViewId="0">
      <selection activeCell="A1" sqref="A1"/>
    </sheetView>
  </sheetViews>
  <sheetFormatPr defaultColWidth="10.57421875" customHeight="1" defaultRowHeight="14.25"/>
  <cols>
    <col min="1" max="1" style="32343" width="10.57421875" hidden="1"/>
    <col min="2" max="2" style="32343" width="11.00390625" hidden="1" customWidth="1"/>
    <col min="3" max="3" style="32343" width="10.57421875" hidden="1"/>
    <col min="4" max="4" style="32343" width="11.8515625" hidden="1" customWidth="1"/>
    <col min="5" max="5" style="32343" width="10.00390625" hidden="1" customWidth="1"/>
    <col min="6" max="6" style="32343" width="8.7109375" hidden="1" customWidth="1"/>
    <col min="7" max="7" style="32343" width="7.57421875" hidden="1" customWidth="1"/>
    <col min="8" max="8" style="32343" width="11.421875" hidden="1" customWidth="1"/>
    <col min="9" max="9" style="32343" width="12.00390625" hidden="1" customWidth="1"/>
    <col min="10" max="10" style="32343" width="9.8515625" hidden="1" customWidth="1"/>
    <col min="11" max="11" style="32343" width="11.421875" hidden="1" customWidth="1"/>
    <col min="12" max="12" style="32344" width="19.140625" hidden="1" customWidth="1"/>
    <col min="13" max="14" style="32345" width="12.28125" hidden="1" customWidth="1"/>
    <col min="15" max="15" style="32345" width="23.421875" hidden="1" customWidth="1"/>
    <col min="16" max="16" style="32345" width="3.7109375" customWidth="1"/>
    <col min="17" max="18" style="32300" width="3.7109375" customWidth="1"/>
    <col min="19" max="19" style="32301" width="12.7109375" customWidth="1"/>
    <col min="20" max="20" style="32343" width="32.00390625" customWidth="1"/>
    <col min="21" max="21" style="32343" width="0.140625" customWidth="1"/>
    <col min="22" max="22" style="32343" width="24.7109375" hidden="1" customWidth="1"/>
    <col min="23" max="23" style="32343" width="0.140625" hidden="1" customWidth="1"/>
    <col min="24" max="25" style="32343" width="24.7109375" hidden="1" customWidth="1"/>
    <col min="26" max="26" style="32343" width="11.7109375" hidden="1" customWidth="1"/>
    <col min="27" max="27" style="32343" width="3.7109375" hidden="1" customWidth="1"/>
    <col min="28" max="28" style="32343" width="11.7109375" hidden="1" customWidth="1"/>
    <col min="29" max="29" style="32343" width="8.57421875" hidden="1" customWidth="1"/>
    <col min="30" max="30" style="32343" width="24.7109375" customWidth="1"/>
    <col min="31" max="31" style="32343" width="0.140625" customWidth="1"/>
    <col min="32" max="33" style="32343" width="24.7109375" customWidth="1"/>
    <col min="34" max="34" style="32343" width="11.7109375" customWidth="1"/>
    <col min="35" max="35" style="32343" width="3.7109375" customWidth="1"/>
    <col min="36" max="36" style="32343" width="11.7109375" customWidth="1"/>
    <col min="37" max="37" style="32343" width="8.57421875" hidden="1" customWidth="1"/>
    <col min="38" max="38" style="32343" width="4.7109375" customWidth="1"/>
    <col min="39" max="39" style="32343" width="115.7109375" customWidth="1"/>
    <col min="40" max="41" style="32341" width="10.57421875"/>
    <col min="42" max="42" style="32341" width="11.140625" customWidth="1"/>
    <col min="43" max="44" style="32341" width="10.57421875"/>
  </cols>
  <sheetData>
    <row customHeight="1" ht="14.25" hidden="1"/>
    <row customHeight="1" ht="21" hidden="1">
      <c r="A2" s="1633"/>
      <c r="B2" s="1633"/>
      <c r="C2" s="1633"/>
      <c r="D2" s="1633"/>
      <c r="E2" s="2562">
        <v>1</v>
      </c>
      <c r="F2" s="1633"/>
      <c r="G2" s="1633"/>
      <c r="H2" s="1633"/>
      <c r="I2" s="1633"/>
      <c r="J2" s="1633"/>
      <c r="K2" s="1633"/>
      <c r="L2" s="1676"/>
      <c r="M2" s="1976"/>
      <c r="N2" s="1976"/>
      <c r="O2" s="1976"/>
      <c r="P2" s="1956"/>
      <c r="Q2" s="721"/>
      <c r="R2" s="716"/>
      <c r="S2" s="2325">
        <f>INDEX(PT_DIFFERENTIATION_NUM_NTAR,MATCH(A2,PT_DIFFERENTIATION_NTAR_ID,0))</f>
      </c>
      <c r="T2" s="1891" t="s">
        <v>131</v>
      </c>
      <c r="U2" s="661"/>
      <c r="V2" s="2521"/>
      <c r="W2" s="2522"/>
      <c r="X2" s="2522"/>
      <c r="Y2" s="2522"/>
      <c r="Z2" s="2522"/>
      <c r="AA2" s="2522"/>
      <c r="AB2" s="2522"/>
      <c r="AC2" s="2523"/>
      <c r="AD2" s="2521">
        <f>INDEX(PT_DIFFERENTIATION_NTAR,MATCH(A2,PT_DIFFERENTIATION_NTAR_ID,0))</f>
      </c>
      <c r="AE2" s="2522"/>
      <c r="AF2" s="2522"/>
      <c r="AG2" s="2522"/>
      <c r="AH2" s="2522"/>
      <c r="AI2" s="2522"/>
      <c r="AJ2" s="2522"/>
      <c r="AK2" s="2522"/>
      <c r="AL2" s="2523"/>
      <c r="AM2" s="1623" t="s">
        <v>437</v>
      </c>
      <c r="AO2" s="1990"/>
      <c r="AP2" s="1990" t="str">
        <f>IF(T2="","",T2)</f>
        <v>Наименование тарифа</v>
      </c>
      <c r="AQ2" s="1990"/>
      <c r="AR2" s="1990"/>
    </row>
    <row customHeight="1" ht="21" hidden="1">
      <c r="A3" s="1633"/>
      <c r="B3" s="1633"/>
      <c r="C3" s="1633"/>
      <c r="D3" s="1633"/>
      <c r="E3" s="2563"/>
      <c r="F3" s="2562">
        <v>1</v>
      </c>
      <c r="G3" s="1633"/>
      <c r="H3" s="1633"/>
      <c r="I3" s="1633"/>
      <c r="J3" s="1633"/>
      <c r="K3" s="1633"/>
      <c r="L3" s="1676"/>
      <c r="M3" s="1976"/>
      <c r="N3" s="1976"/>
      <c r="O3" s="1976"/>
      <c r="P3" s="2307"/>
      <c r="Q3" s="713"/>
      <c r="R3" s="714"/>
      <c r="S3" s="2325">
        <f>INDEX(PT_DIFFERENTIATION_NUM_TER,MATCH(B3,PT_DIFFERENTIATION_TER_ID,0))</f>
      </c>
      <c r="T3" s="1888" t="s">
        <v>438</v>
      </c>
      <c r="U3" s="661"/>
      <c r="V3" s="2521"/>
      <c r="W3" s="2522"/>
      <c r="X3" s="2522"/>
      <c r="Y3" s="2522"/>
      <c r="Z3" s="2522"/>
      <c r="AA3" s="2522"/>
      <c r="AB3" s="2522"/>
      <c r="AC3" s="2523"/>
      <c r="AD3" s="2521">
        <f>INDEX(PT_DIFFERENTIATION_TER,MATCH(B3,PT_DIFFERENTIATION_TER_ID,0))</f>
      </c>
      <c r="AE3" s="2522"/>
      <c r="AF3" s="2522"/>
      <c r="AG3" s="2522"/>
      <c r="AH3" s="2522"/>
      <c r="AI3" s="2522"/>
      <c r="AJ3" s="2522"/>
      <c r="AK3" s="2522"/>
      <c r="AL3" s="2523"/>
      <c r="AM3" s="1623" t="s">
        <v>439</v>
      </c>
      <c r="AO3" s="1990"/>
      <c r="AP3" s="1990" t="str">
        <f>IF(T3="","",T3)</f>
        <v>Территория действия тарифа</v>
      </c>
      <c r="AQ3" s="1990"/>
      <c r="AR3" s="1990"/>
    </row>
    <row customHeight="1" ht="23.25" hidden="1">
      <c r="A4" s="1633"/>
      <c r="B4" s="1633"/>
      <c r="C4" s="1633"/>
      <c r="D4" s="1633"/>
      <c r="E4" s="2563"/>
      <c r="F4" s="2563"/>
      <c r="G4" s="2562">
        <v>1</v>
      </c>
      <c r="H4" s="1633"/>
      <c r="I4" s="1633"/>
      <c r="J4" s="1633"/>
      <c r="K4" s="1633"/>
      <c r="L4" s="1676"/>
      <c r="M4" s="1976"/>
      <c r="N4" s="1976"/>
      <c r="O4" s="1976"/>
      <c r="P4" s="715"/>
      <c r="Q4" s="713"/>
      <c r="R4" s="714"/>
      <c r="S4" s="2325">
        <f>INDEX(PT_DIFFERENTIATION_NUM_CS,MATCH(C4,PT_DIFFERENTIATION_CS_ID,0))</f>
      </c>
      <c r="T4" s="670" t="s">
        <v>440</v>
      </c>
      <c r="U4" s="661"/>
      <c r="V4" s="2521"/>
      <c r="W4" s="2522"/>
      <c r="X4" s="2522"/>
      <c r="Y4" s="2522"/>
      <c r="Z4" s="2522"/>
      <c r="AA4" s="2522"/>
      <c r="AB4" s="2522"/>
      <c r="AC4" s="2523"/>
      <c r="AD4" s="2521">
        <f>INDEX(PT_DIFFERENTIATION_CS,MATCH(C4,PT_DIFFERENTIATION_CS_ID,0))</f>
      </c>
      <c r="AE4" s="2522"/>
      <c r="AF4" s="2522"/>
      <c r="AG4" s="2522"/>
      <c r="AH4" s="2522"/>
      <c r="AI4" s="2522"/>
      <c r="AJ4" s="2522"/>
      <c r="AK4" s="2522"/>
      <c r="AL4" s="2523"/>
      <c r="AM4" s="1623" t="s">
        <v>441</v>
      </c>
      <c r="AO4" s="1990"/>
      <c r="AP4" s="1990" t="str">
        <f>IF(T4="","",T4)</f>
        <v>Наименование системы теплоснабжения </v>
      </c>
      <c r="AQ4" s="1990"/>
      <c r="AR4" s="1990"/>
    </row>
    <row customHeight="1" ht="21" hidden="1">
      <c r="A5" s="1633"/>
      <c r="B5" s="1633"/>
      <c r="C5" s="1633"/>
      <c r="D5" s="1633"/>
      <c r="E5" s="2563"/>
      <c r="F5" s="2563"/>
      <c r="G5" s="2563"/>
      <c r="H5" s="2562">
        <v>1</v>
      </c>
      <c r="I5" s="1633"/>
      <c r="J5" s="1633"/>
      <c r="K5" s="1633"/>
      <c r="L5" s="1676"/>
      <c r="M5" s="1976"/>
      <c r="N5" s="1976"/>
      <c r="O5" s="1976"/>
      <c r="P5" s="715"/>
      <c r="Q5" s="713"/>
      <c r="R5" s="714"/>
      <c r="S5" s="2325">
        <f>INDEX(PT_DIFFERENTIATION_NUM_IST_TE,MATCH(D5,PT_DIFFERENTIATION_IST_TE_ID,0))</f>
      </c>
      <c r="T5" s="671" t="s">
        <v>442</v>
      </c>
      <c r="U5" s="661"/>
      <c r="V5" s="2521"/>
      <c r="W5" s="2522"/>
      <c r="X5" s="2522"/>
      <c r="Y5" s="2522"/>
      <c r="Z5" s="2522"/>
      <c r="AA5" s="2522"/>
      <c r="AB5" s="2522"/>
      <c r="AC5" s="2523"/>
      <c r="AD5" s="2521">
        <f>INDEX(PT_DIFFERENTIATION_IST_TE,MATCH(D5,PT_DIFFERENTIATION_IST_TE_ID,0))</f>
      </c>
      <c r="AE5" s="2522"/>
      <c r="AF5" s="2522"/>
      <c r="AG5" s="2522"/>
      <c r="AH5" s="2522"/>
      <c r="AI5" s="2522"/>
      <c r="AJ5" s="2522"/>
      <c r="AK5" s="2522"/>
      <c r="AL5" s="2523"/>
      <c r="AM5" s="1623" t="s">
        <v>443</v>
      </c>
      <c r="AO5" s="1990"/>
      <c r="AP5" s="1990" t="str">
        <f>IF(T5="","",T5)</f>
        <v>Источник тепловой энергии  </v>
      </c>
      <c r="AQ5" s="1990"/>
      <c r="AR5" s="1990"/>
    </row>
    <row customHeight="1" ht="47.25" hidden="1">
      <c r="A6" s="1633"/>
      <c r="B6" s="1633"/>
      <c r="C6" s="1633"/>
      <c r="D6" s="1633"/>
      <c r="E6" s="2563"/>
      <c r="F6" s="2563"/>
      <c r="G6" s="2563"/>
      <c r="H6" s="2563"/>
      <c r="I6" s="2392">
        <f>S5&amp;".1"</f>
      </c>
      <c r="J6" s="1633"/>
      <c r="K6" s="1633"/>
      <c r="L6" s="1676" t="s">
        <v>444</v>
      </c>
      <c r="M6" s="2001"/>
      <c r="P6" s="2531">
        <v>1</v>
      </c>
      <c r="Q6" s="2321"/>
      <c r="R6" s="717"/>
      <c r="S6" s="2325">
        <f>$I6</f>
      </c>
      <c r="T6" s="646" t="s">
        <v>445</v>
      </c>
      <c r="U6" s="661"/>
      <c r="V6" s="2515"/>
      <c r="W6" s="2516"/>
      <c r="X6" s="2516"/>
      <c r="Y6" s="2516"/>
      <c r="Z6" s="2516"/>
      <c r="AA6" s="2516"/>
      <c r="AB6" s="2516"/>
      <c r="AC6" s="2517"/>
      <c r="AD6" s="2515"/>
      <c r="AE6" s="2516"/>
      <c r="AF6" s="2516"/>
      <c r="AG6" s="2516"/>
      <c r="AH6" s="2516"/>
      <c r="AI6" s="2516"/>
      <c r="AJ6" s="2516"/>
      <c r="AK6" s="2516"/>
      <c r="AL6" s="2517"/>
      <c r="AM6" s="1623" t="s">
        <v>446</v>
      </c>
      <c r="AO6" s="1990"/>
      <c r="AP6" s="1990" t="str">
        <f>IF(T6="","",T6)</f>
        <v>Схема подключения теплопотребляющей установки к коллектору источника тепловой энергии</v>
      </c>
      <c r="AQ6" s="1990"/>
      <c r="AR6" s="1990"/>
    </row>
    <row customHeight="1" ht="21" hidden="1">
      <c r="A7" s="1633"/>
      <c r="B7" s="1633"/>
      <c r="C7" s="1633"/>
      <c r="D7" s="1633"/>
      <c r="E7" s="2563"/>
      <c r="F7" s="2563"/>
      <c r="G7" s="2563"/>
      <c r="H7" s="2563"/>
      <c r="I7" s="2376"/>
      <c r="J7" s="2392">
        <f>I6&amp;".1"</f>
      </c>
      <c r="K7" s="1633"/>
      <c r="L7" s="1676" t="s">
        <v>447</v>
      </c>
      <c r="M7" s="2001"/>
      <c r="N7" s="1997"/>
      <c r="P7" s="2531"/>
      <c r="Q7" s="2531">
        <v>1</v>
      </c>
      <c r="R7" s="718"/>
      <c r="S7" s="2325">
        <f>$J7</f>
      </c>
      <c r="T7" s="647" t="s">
        <v>448</v>
      </c>
      <c r="U7" s="661"/>
      <c r="V7" s="2515"/>
      <c r="W7" s="2516"/>
      <c r="X7" s="2516"/>
      <c r="Y7" s="2516"/>
      <c r="Z7" s="2516"/>
      <c r="AA7" s="2516"/>
      <c r="AB7" s="2516"/>
      <c r="AC7" s="2517"/>
      <c r="AD7" s="2515"/>
      <c r="AE7" s="2516"/>
      <c r="AF7" s="2516"/>
      <c r="AG7" s="2516"/>
      <c r="AH7" s="2516"/>
      <c r="AI7" s="2516"/>
      <c r="AJ7" s="2516"/>
      <c r="AK7" s="2516"/>
      <c r="AL7" s="2517"/>
      <c r="AM7" s="1623" t="s">
        <v>449</v>
      </c>
      <c r="AO7" s="1990"/>
      <c r="AP7" s="1990" t="str">
        <f>IF(T7="","",T7)</f>
        <v>Группа потребителей</v>
      </c>
      <c r="AQ7" s="1990"/>
      <c r="AR7" s="1990"/>
    </row>
    <row customHeight="1" ht="21" hidden="1">
      <c r="A8" s="1633"/>
      <c r="B8" s="1633"/>
      <c r="C8" s="1633"/>
      <c r="D8" s="1633"/>
      <c r="E8" s="2563"/>
      <c r="F8" s="2563"/>
      <c r="G8" s="2563"/>
      <c r="H8" s="2563"/>
      <c r="I8" s="2376"/>
      <c r="J8" s="2376"/>
      <c r="K8" s="2392">
        <f>J7&amp;".1"</f>
      </c>
      <c r="L8" s="1676" t="s">
        <v>450</v>
      </c>
      <c r="M8" s="2001"/>
      <c r="N8" s="1997"/>
      <c r="O8" s="1997"/>
      <c r="P8" s="2531"/>
      <c r="Q8" s="2531"/>
      <c r="R8" s="718">
        <v>1</v>
      </c>
      <c r="S8" s="2325">
        <f>$K8</f>
      </c>
      <c r="T8" s="1713"/>
      <c r="U8" s="661"/>
      <c r="V8" s="1112"/>
      <c r="W8" s="686"/>
      <c r="X8" s="1112"/>
      <c r="Y8" s="1622"/>
      <c r="Z8" s="2532"/>
      <c r="AA8" s="2402" t="s">
        <v>66</v>
      </c>
      <c r="AB8" s="2532"/>
      <c r="AC8" s="2402" t="s">
        <v>66</v>
      </c>
      <c r="AD8" s="1112"/>
      <c r="AE8" s="686"/>
      <c r="AF8" s="1112"/>
      <c r="AG8" s="1622"/>
      <c r="AH8" s="2532"/>
      <c r="AI8" s="2402" t="s">
        <v>66</v>
      </c>
      <c r="AJ8" s="2532"/>
      <c r="AK8" s="2402" t="s">
        <v>66</v>
      </c>
      <c r="AL8" s="686"/>
      <c r="AM8" s="2557" t="s">
        <v>451</v>
      </c>
      <c r="AN8" s="2002">
        <f>STRCHECKDATE(V9:AL9)</f>
      </c>
      <c r="AO8" s="1990"/>
      <c r="AP8" s="1990" t="str">
        <f>IF(T8="","",T8)</f>
        <v/>
      </c>
      <c r="AQ8" s="1990"/>
      <c r="AR8" s="1990"/>
    </row>
    <row customHeight="1" ht="0.75" hidden="1">
      <c r="A9" s="1633"/>
      <c r="B9" s="1633"/>
      <c r="C9" s="1633"/>
      <c r="D9" s="1633"/>
      <c r="E9" s="2563"/>
      <c r="F9" s="2563"/>
      <c r="G9" s="2563"/>
      <c r="H9" s="2563"/>
      <c r="I9" s="2376"/>
      <c r="J9" s="2376"/>
      <c r="K9" s="2392"/>
      <c r="L9" s="1676"/>
      <c r="M9" s="2001"/>
      <c r="N9" s="1997"/>
      <c r="O9" s="1997"/>
      <c r="P9" s="2531"/>
      <c r="Q9" s="2531"/>
      <c r="R9" s="718"/>
      <c r="S9" s="2334"/>
      <c r="T9" s="661"/>
      <c r="U9" s="661"/>
      <c r="V9" s="686"/>
      <c r="W9" s="686"/>
      <c r="X9" s="686"/>
      <c r="Y9" s="689" t="str">
        <f>Z8&amp;"-"&amp;AB8</f>
        <v>-</v>
      </c>
      <c r="Z9" s="2533"/>
      <c r="AA9" s="2402"/>
      <c r="AB9" s="2533"/>
      <c r="AC9" s="2402"/>
      <c r="AD9" s="686"/>
      <c r="AE9" s="686"/>
      <c r="AF9" s="686"/>
      <c r="AG9" s="689" t="str">
        <f>AH8&amp;"-"&amp;AJ8</f>
        <v>-</v>
      </c>
      <c r="AH9" s="2533"/>
      <c r="AI9" s="2402"/>
      <c r="AJ9" s="2533"/>
      <c r="AK9" s="2402"/>
      <c r="AL9" s="686"/>
      <c r="AM9" s="2558"/>
      <c r="AO9" s="1990"/>
      <c r="AP9" s="1990" t="str">
        <f>IF(T9="","",T9)</f>
        <v/>
      </c>
      <c r="AQ9" s="1990"/>
      <c r="AR9" s="1990"/>
    </row>
    <row customHeight="1" ht="15" hidden="1">
      <c r="A10" s="1633"/>
      <c r="B10" s="1633"/>
      <c r="C10" s="1633"/>
      <c r="D10" s="1633"/>
      <c r="E10" s="2563"/>
      <c r="F10" s="2563"/>
      <c r="G10" s="2563"/>
      <c r="H10" s="2563"/>
      <c r="I10" s="2376"/>
      <c r="J10" s="2392"/>
      <c r="K10" s="1633"/>
      <c r="L10" s="1676"/>
      <c r="M10" s="2001"/>
      <c r="N10" s="1997"/>
      <c r="P10" s="2531"/>
      <c r="Q10" s="2531"/>
      <c r="R10" s="717"/>
      <c r="S10" s="1644"/>
      <c r="T10" s="649" t="s">
        <v>452</v>
      </c>
      <c r="U10" s="961"/>
      <c r="V10" s="961"/>
      <c r="W10" s="961"/>
      <c r="X10" s="961"/>
      <c r="Y10" s="961"/>
      <c r="Z10" s="961"/>
      <c r="AA10" s="961"/>
      <c r="AB10" s="961"/>
      <c r="AC10" s="961"/>
      <c r="AD10" s="961"/>
      <c r="AE10" s="961"/>
      <c r="AF10" s="961"/>
      <c r="AG10" s="961"/>
      <c r="AH10" s="961"/>
      <c r="AI10" s="961"/>
      <c r="AJ10" s="961"/>
      <c r="AK10" s="961"/>
      <c r="AL10" s="685"/>
      <c r="AM10" s="2559"/>
      <c r="AO10" s="1990"/>
      <c r="AP10" s="1990" t="str">
        <f>IF(T10="","",T10)</f>
        <v>Добавить вид теплоносителя (параметры теплоносителя)</v>
      </c>
      <c r="AQ10" s="1990"/>
      <c r="AR10" s="1990"/>
    </row>
    <row customHeight="1" ht="15" hidden="1">
      <c r="A11" s="1633"/>
      <c r="B11" s="1633"/>
      <c r="C11" s="1633"/>
      <c r="D11" s="1633"/>
      <c r="E11" s="2563"/>
      <c r="F11" s="2563"/>
      <c r="G11" s="2563"/>
      <c r="H11" s="2563"/>
      <c r="I11" s="2392"/>
      <c r="J11" s="1633"/>
      <c r="K11" s="1633"/>
      <c r="L11" s="1676"/>
      <c r="M11" s="2001"/>
      <c r="P11" s="2531"/>
      <c r="Q11" s="2321"/>
      <c r="R11" s="717"/>
      <c r="S11" s="1644"/>
      <c r="T11" s="648" t="s">
        <v>453</v>
      </c>
      <c r="U11" s="961"/>
      <c r="V11" s="961"/>
      <c r="W11" s="961"/>
      <c r="X11" s="961"/>
      <c r="Y11" s="961"/>
      <c r="Z11" s="961"/>
      <c r="AA11" s="961"/>
      <c r="AB11" s="961"/>
      <c r="AC11" s="727"/>
      <c r="AD11" s="961"/>
      <c r="AE11" s="961"/>
      <c r="AF11" s="961"/>
      <c r="AG11" s="961"/>
      <c r="AH11" s="961"/>
      <c r="AI11" s="961"/>
      <c r="AJ11" s="961"/>
      <c r="AK11" s="727"/>
      <c r="AL11" s="961"/>
      <c r="AM11" s="664"/>
      <c r="AO11" s="1990"/>
      <c r="AP11" s="1990" t="str">
        <f>IF(T11="","",T11)</f>
        <v>Добавить группу потребителей</v>
      </c>
      <c r="AQ11" s="1990"/>
      <c r="AR11" s="1990"/>
    </row>
    <row customHeight="1" ht="14.25" hidden="1">
      <c r="A12" s="1633"/>
      <c r="B12" s="1633"/>
      <c r="C12" s="1633"/>
      <c r="D12" s="1633"/>
      <c r="E12" s="2563"/>
      <c r="F12" s="2563"/>
      <c r="G12" s="2563"/>
      <c r="H12" s="2562"/>
      <c r="I12" s="1633"/>
      <c r="J12" s="1633"/>
      <c r="K12" s="1633"/>
      <c r="L12" s="1676"/>
      <c r="M12" s="1976"/>
      <c r="N12" s="1976"/>
      <c r="O12" s="2001"/>
      <c r="P12" s="721"/>
      <c r="Q12" s="736"/>
      <c r="R12" s="716"/>
      <c r="S12" s="1644"/>
      <c r="T12" s="726" t="s">
        <v>454</v>
      </c>
      <c r="U12" s="961"/>
      <c r="V12" s="961"/>
      <c r="W12" s="961"/>
      <c r="X12" s="961"/>
      <c r="Y12" s="961"/>
      <c r="Z12" s="961"/>
      <c r="AA12" s="961"/>
      <c r="AB12" s="961"/>
      <c r="AC12" s="727"/>
      <c r="AD12" s="961"/>
      <c r="AE12" s="961"/>
      <c r="AF12" s="961"/>
      <c r="AG12" s="961"/>
      <c r="AH12" s="961"/>
      <c r="AI12" s="961"/>
      <c r="AJ12" s="961"/>
      <c r="AK12" s="727"/>
      <c r="AL12" s="961"/>
      <c r="AM12" s="664"/>
      <c r="AO12" s="1990"/>
      <c r="AP12" s="1990" t="str">
        <f>IF(T12="","",T12)</f>
        <v>Добавить схему подключения</v>
      </c>
      <c r="AQ12" s="1990"/>
      <c r="AR12" s="1990"/>
    </row>
    <row s="32321" customFormat="1" customHeight="1" ht="0.75" hidden="1">
      <c r="A13" s="1740"/>
      <c r="B13" s="1740"/>
      <c r="C13" s="1740"/>
      <c r="D13" s="1740"/>
      <c r="E13" s="2563"/>
      <c r="F13" s="2563"/>
      <c r="G13" s="2562"/>
      <c r="H13" s="1740"/>
      <c r="I13" s="1740"/>
      <c r="J13" s="1740"/>
      <c r="K13" s="1740"/>
      <c r="L13" s="1743"/>
      <c r="M13" s="1744"/>
      <c r="N13" s="1744"/>
      <c r="O13" s="712"/>
      <c r="P13" s="1682"/>
      <c r="Q13" s="1683"/>
      <c r="R13" s="1682"/>
      <c r="S13" s="1684"/>
      <c r="T13" s="1685" t="s">
        <v>455</v>
      </c>
      <c r="U13" s="1686"/>
      <c r="V13" s="1686"/>
      <c r="W13" s="1686"/>
      <c r="X13" s="1686"/>
      <c r="Y13" s="1686"/>
      <c r="Z13" s="1686"/>
      <c r="AA13" s="1686"/>
      <c r="AB13" s="1686"/>
      <c r="AC13" s="1686"/>
      <c r="AD13" s="1686"/>
      <c r="AE13" s="1686"/>
      <c r="AF13" s="1686"/>
      <c r="AG13" s="1686"/>
      <c r="AH13" s="1686"/>
      <c r="AI13" s="1686"/>
      <c r="AJ13" s="1686"/>
      <c r="AK13" s="1686"/>
      <c r="AL13" s="1686"/>
      <c r="AM13" s="1686"/>
      <c r="AO13" s="1616"/>
      <c r="AP13" s="1616" t="str">
        <f>IF(T13="","",T13)</f>
        <v>Добавить источник для дифференциации</v>
      </c>
      <c r="AQ13" s="1616"/>
      <c r="AR13" s="1616"/>
    </row>
    <row s="32321" customFormat="1" customHeight="1" ht="0.75" hidden="1">
      <c r="A14" s="1740"/>
      <c r="B14" s="1740"/>
      <c r="C14" s="1740"/>
      <c r="D14" s="1740"/>
      <c r="E14" s="2563"/>
      <c r="F14" s="2562"/>
      <c r="G14" s="1740"/>
      <c r="H14" s="1740"/>
      <c r="I14" s="1740"/>
      <c r="J14" s="1740"/>
      <c r="K14" s="1740"/>
      <c r="L14" s="1743"/>
      <c r="M14" s="1745"/>
      <c r="N14" s="1745"/>
      <c r="O14" s="712"/>
      <c r="P14" s="1682"/>
      <c r="Q14" s="1683"/>
      <c r="R14" s="1682"/>
      <c r="S14" s="1688"/>
      <c r="T14" s="1689" t="s">
        <v>262</v>
      </c>
      <c r="U14" s="1690"/>
      <c r="V14" s="1690"/>
      <c r="W14" s="1690"/>
      <c r="X14" s="1690"/>
      <c r="Y14" s="1690"/>
      <c r="Z14" s="1690"/>
      <c r="AA14" s="1690"/>
      <c r="AB14" s="1690"/>
      <c r="AC14" s="1690"/>
      <c r="AD14" s="1690"/>
      <c r="AE14" s="1690"/>
      <c r="AF14" s="1690"/>
      <c r="AG14" s="1690"/>
      <c r="AH14" s="1690"/>
      <c r="AI14" s="1690"/>
      <c r="AJ14" s="1690"/>
      <c r="AK14" s="1690"/>
      <c r="AL14" s="1690"/>
      <c r="AM14" s="1690"/>
      <c r="AO14" s="1616"/>
      <c r="AP14" s="1616" t="str">
        <f>IF(T14="","",T14)</f>
        <v>Добавить централизованную систему для дифференциации</v>
      </c>
      <c r="AQ14" s="1616"/>
      <c r="AR14" s="1616"/>
    </row>
    <row s="32321" customFormat="1" customHeight="1" ht="0.75" hidden="1">
      <c r="A15" s="1740"/>
      <c r="B15" s="1740"/>
      <c r="C15" s="1740"/>
      <c r="D15" s="1740"/>
      <c r="E15" s="2562"/>
      <c r="F15" s="1740"/>
      <c r="G15" s="1740"/>
      <c r="H15" s="1740"/>
      <c r="I15" s="1740"/>
      <c r="J15" s="1740"/>
      <c r="K15" s="1740"/>
      <c r="L15" s="1743"/>
      <c r="M15" s="1745"/>
      <c r="N15" s="1745"/>
      <c r="O15" s="712"/>
      <c r="P15" s="1682"/>
      <c r="Q15" s="1683"/>
      <c r="R15" s="1682"/>
      <c r="S15" s="1688"/>
      <c r="T15" s="1691" t="s">
        <v>270</v>
      </c>
      <c r="U15" s="1690"/>
      <c r="V15" s="1690"/>
      <c r="W15" s="1690"/>
      <c r="X15" s="1690"/>
      <c r="Y15" s="1690"/>
      <c r="Z15" s="1690"/>
      <c r="AA15" s="1690"/>
      <c r="AB15" s="1690"/>
      <c r="AC15" s="1690"/>
      <c r="AD15" s="1690"/>
      <c r="AE15" s="1690"/>
      <c r="AF15" s="1690"/>
      <c r="AG15" s="1690"/>
      <c r="AH15" s="1690"/>
      <c r="AI15" s="1690"/>
      <c r="AJ15" s="1690"/>
      <c r="AK15" s="1690"/>
      <c r="AL15" s="1690"/>
      <c r="AM15" s="1690"/>
      <c r="AO15" s="1616"/>
      <c r="AP15" s="1616" t="str">
        <f>IF(T15="","",T15)</f>
        <v>Добавить территорию для дифференциации</v>
      </c>
      <c r="AQ15" s="1616"/>
      <c r="AR15" s="1616"/>
    </row>
    <row customHeight="1" ht="14.25" hidden="1"/>
    <row customHeight="1" ht="14.25" hidden="1">
      <c r="AD17" s="1726"/>
      <c r="AE17" s="1726"/>
      <c r="AF17" s="1726"/>
      <c r="AG17" s="1727"/>
      <c r="AH17" s="2525"/>
      <c r="AI17" s="2524" t="s">
        <v>66</v>
      </c>
      <c r="AJ17" s="2525"/>
      <c r="AK17" s="2524" t="s">
        <v>66</v>
      </c>
    </row>
    <row customHeight="1" ht="14.25" hidden="1">
      <c r="AD18" s="1726"/>
      <c r="AE18" s="1726"/>
      <c r="AF18" s="1726"/>
      <c r="AG18" s="689" t="str">
        <f>AH17&amp;"-"&amp;AJ17</f>
        <v>-</v>
      </c>
      <c r="AH18" s="2524"/>
      <c r="AI18" s="2524"/>
      <c r="AJ18" s="2524"/>
      <c r="AK18" s="2524"/>
    </row>
    <row customHeight="1" ht="14.25" hidden="1"/>
    <row s="32328" customFormat="1" customHeight="1" ht="14.25" hidden="1">
      <c r="A20" s="1997"/>
      <c r="B20" s="1997"/>
      <c r="C20" s="1997"/>
      <c r="D20" s="1997"/>
      <c r="E20" s="1997"/>
      <c r="F20" s="1997"/>
      <c r="G20" s="1997"/>
      <c r="H20" s="1997"/>
      <c r="I20" s="1997"/>
      <c r="J20" s="1997"/>
      <c r="K20" s="1997"/>
      <c r="L20" s="2306"/>
      <c r="M20" s="2332"/>
      <c r="N20" s="2332"/>
      <c r="O20" s="1711" t="s">
        <v>456</v>
      </c>
      <c r="P20" s="1728"/>
      <c r="Q20" s="1737"/>
      <c r="R20" s="1737"/>
      <c r="S20" s="1090"/>
      <c r="Z20" s="1733"/>
      <c r="AB20" s="1733"/>
      <c r="AH20" s="1733"/>
      <c r="AJ20" s="1733"/>
      <c r="AN20" s="2002"/>
      <c r="AO20" s="2002"/>
      <c r="AP20" s="2002"/>
      <c r="AQ20" s="2002"/>
      <c r="AR20" s="2002"/>
    </row>
    <row s="32328" customFormat="1" customHeight="1" ht="14.25" hidden="1">
      <c r="A21" s="1997"/>
      <c r="B21" s="1997"/>
      <c r="C21" s="1997"/>
      <c r="D21" s="1997"/>
      <c r="E21" s="1997"/>
      <c r="F21" s="1997"/>
      <c r="G21" s="1997"/>
      <c r="H21" s="1997"/>
      <c r="I21" s="1997"/>
      <c r="J21" s="1997"/>
      <c r="K21" s="1997"/>
      <c r="L21" s="2306"/>
      <c r="M21" s="2332"/>
      <c r="N21" s="2332"/>
      <c r="O21" s="2332"/>
      <c r="P21" s="1728"/>
      <c r="Q21" s="1737"/>
      <c r="R21" s="1737"/>
      <c r="S21" s="1090"/>
      <c r="AN21" s="2002"/>
      <c r="AO21" s="2002"/>
      <c r="AP21" s="2002"/>
      <c r="AQ21" s="2002"/>
      <c r="AR21" s="2002"/>
    </row>
    <row s="32328" customFormat="1" customHeight="1" ht="14.25" hidden="1">
      <c r="A22" s="1997"/>
      <c r="B22" s="1997"/>
      <c r="C22" s="1997"/>
      <c r="D22" s="1997"/>
      <c r="E22" s="1997"/>
      <c r="F22" s="1997"/>
      <c r="G22" s="1997"/>
      <c r="H22" s="1997"/>
      <c r="I22" s="1997"/>
      <c r="J22" s="1997"/>
      <c r="K22" s="1997"/>
      <c r="L22" s="2306"/>
      <c r="M22" s="2332"/>
      <c r="N22" s="2332"/>
      <c r="O22" s="1676" t="s">
        <v>457</v>
      </c>
      <c r="P22" s="1728"/>
      <c r="Q22" s="1737"/>
      <c r="R22" s="1737"/>
      <c r="S22" s="1090"/>
      <c r="T22" s="1732" t="s">
        <v>458</v>
      </c>
      <c r="AA22" s="956" t="s">
        <v>459</v>
      </c>
      <c r="AC22" s="956" t="s">
        <v>460</v>
      </c>
      <c r="AD22" s="1732" t="s">
        <v>458</v>
      </c>
      <c r="AI22" s="956" t="s">
        <v>461</v>
      </c>
      <c r="AK22" s="956" t="s">
        <v>460</v>
      </c>
      <c r="AN22" s="2002"/>
      <c r="AO22" s="2002"/>
      <c r="AP22" s="2002"/>
      <c r="AQ22" s="2002"/>
      <c r="AR22" s="2002"/>
    </row>
    <row customHeight="1" ht="14.25" hidden="1">
      <c r="O23" s="1676"/>
    </row>
    <row customHeight="1" ht="14.25" hidden="1">
      <c r="O24" s="1676"/>
    </row>
    <row customHeight="1" ht="14.25">
      <c r="Q25" s="737"/>
      <c r="R25" s="737"/>
      <c r="S25" s="1641"/>
      <c r="T25" s="818"/>
      <c r="U25" s="818"/>
      <c r="V25" s="2001"/>
      <c r="W25" s="2001"/>
      <c r="X25" s="2001"/>
      <c r="Y25" s="2001"/>
      <c r="Z25" s="2001"/>
      <c r="AA25" s="2001"/>
      <c r="AB25" s="2001"/>
      <c r="AC25" s="2001"/>
      <c r="AD25" s="2001"/>
      <c r="AE25" s="2001"/>
      <c r="AF25" s="2001"/>
      <c r="AG25" s="2001"/>
      <c r="AH25" s="2001"/>
      <c r="AI25" s="2001"/>
      <c r="AJ25" s="2001"/>
      <c r="AK25" s="2001"/>
    </row>
    <row customHeight="1" ht="14.25">
      <c r="Q26" s="737"/>
      <c r="R26" s="737"/>
      <c r="S26" s="256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60"/>
      <c r="U26" s="2560"/>
      <c r="V26" s="2560"/>
      <c r="W26" s="2560"/>
      <c r="X26" s="2560"/>
      <c r="Y26" s="2560"/>
      <c r="Z26" s="2560"/>
      <c r="AA26" s="2560"/>
      <c r="AB26" s="2560"/>
      <c r="AC26" s="2560"/>
      <c r="AD26" s="2560"/>
      <c r="AE26" s="2560"/>
      <c r="AF26" s="2560"/>
      <c r="AG26" s="2560"/>
      <c r="AH26" s="2560"/>
      <c r="AI26" s="2560"/>
      <c r="AJ26" s="2560"/>
      <c r="AK26" s="1608"/>
    </row>
    <row customHeight="1" ht="14.25">
      <c r="Q27" s="737"/>
      <c r="R27" s="737"/>
      <c r="S27" s="2561" t="str">
        <f>IF(org=0,"Не определено",org)</f>
        <v>АО "Мурманэнергосбыт"</v>
      </c>
      <c r="T27" s="2561"/>
      <c r="U27" s="2561"/>
      <c r="V27" s="2561"/>
      <c r="W27" s="2561"/>
      <c r="X27" s="2561"/>
      <c r="Y27" s="2561"/>
      <c r="Z27" s="2561"/>
      <c r="AA27" s="2561"/>
      <c r="AB27" s="2561"/>
      <c r="AC27" s="2561"/>
      <c r="AD27" s="2561"/>
      <c r="AE27" s="2561"/>
      <c r="AF27" s="2561"/>
      <c r="AG27" s="2561"/>
      <c r="AH27" s="2561"/>
      <c r="AI27" s="2561"/>
      <c r="AJ27" s="2561"/>
      <c r="AK27" s="1608"/>
    </row>
    <row customHeight="1" ht="14.25" hidden="1">
      <c r="Q28" s="737"/>
      <c r="R28" s="737"/>
      <c r="S28" s="1641"/>
      <c r="T28" s="818"/>
      <c r="U28" s="818"/>
      <c r="V28" s="683"/>
      <c r="W28" s="683"/>
      <c r="X28" s="683"/>
      <c r="Y28" s="683"/>
      <c r="Z28" s="683"/>
      <c r="AA28" s="683"/>
      <c r="AB28" s="683"/>
      <c r="AC28" s="683"/>
      <c r="AD28" s="683"/>
      <c r="AE28" s="683"/>
      <c r="AF28" s="683"/>
      <c r="AG28" s="683"/>
      <c r="AH28" s="683"/>
      <c r="AI28" s="683"/>
      <c r="AJ28" s="683"/>
      <c r="AK28" s="683"/>
      <c r="AL28" s="2001"/>
    </row>
    <row s="32230" customFormat="1" customHeight="1" ht="25.5" hidden="1">
      <c r="A29" s="1613"/>
      <c r="B29" s="1613"/>
      <c r="C29" s="1613"/>
      <c r="D29" s="1613"/>
      <c r="E29" s="1613"/>
      <c r="F29" s="1613"/>
      <c r="G29" s="1613"/>
      <c r="H29" s="1613"/>
      <c r="I29" s="1613"/>
      <c r="J29" s="1613"/>
      <c r="K29" s="1613"/>
      <c r="L29" s="1746"/>
      <c r="M29" s="1613"/>
      <c r="N29" s="1613"/>
      <c r="O29" s="1613"/>
      <c r="S29" s="2518" t="s">
        <v>38</v>
      </c>
      <c r="T29" s="2518"/>
      <c r="U29" s="1738"/>
      <c r="V29" s="2520" t="str">
        <f>IF(TITLE_NAME_OR_PR_CHANGE="",IF(TITLE_NAME_OR_PR="","",TITLE_NAME_OR_PR),TITLE_NAME_OR_PR_CHANGE)</f>
        <v>Комитет по тарифному регулированию Мурманской области</v>
      </c>
      <c r="W29" s="2520"/>
      <c r="X29" s="2520"/>
      <c r="Y29" s="2520"/>
      <c r="Z29" s="2520"/>
      <c r="AA29" s="2520"/>
      <c r="AB29" s="2520"/>
      <c r="AC29" s="2001"/>
      <c r="AD29" s="2520" t="str">
        <f>IF(TITLE_NAME_OR_PR_CHANGE="",IF(TITLE_NAME_OR_PR="","",TITLE_NAME_OR_PR),TITLE_NAME_OR_PR_CHANGE)</f>
        <v>Комитет по тарифному регулированию Мурманской области</v>
      </c>
      <c r="AE29" s="2520"/>
      <c r="AF29" s="2520"/>
      <c r="AG29" s="2520"/>
      <c r="AH29" s="2520"/>
      <c r="AI29" s="2520"/>
      <c r="AJ29" s="2520"/>
      <c r="AK29" s="2001"/>
      <c r="AL29" s="2001"/>
      <c r="AM29" s="641"/>
      <c r="AN29" s="729"/>
      <c r="AO29" s="729"/>
      <c r="AP29" s="729"/>
      <c r="AQ29" s="729"/>
      <c r="AR29" s="729"/>
    </row>
    <row s="32230" customFormat="1" customHeight="1" ht="18.75" hidden="1">
      <c r="A30" s="1613"/>
      <c r="B30" s="1613"/>
      <c r="C30" s="1613"/>
      <c r="D30" s="1613"/>
      <c r="E30" s="1613"/>
      <c r="F30" s="1613"/>
      <c r="G30" s="1613"/>
      <c r="H30" s="1613"/>
      <c r="I30" s="1613"/>
      <c r="J30" s="1613"/>
      <c r="K30" s="1613"/>
      <c r="L30" s="1746"/>
      <c r="M30" s="1613"/>
      <c r="N30" s="1613"/>
      <c r="O30" s="1613"/>
      <c r="S30" s="2518" t="s">
        <v>462</v>
      </c>
      <c r="T30" s="2518"/>
      <c r="U30" s="1738"/>
      <c r="V30" s="2519" t="str">
        <f>IF(TITLE_DATE_PR_CHANGE="",IF(TITLE_DATE_PR="","",TITLE_DATE_PR),TITLE_DATE_PR_CHANGE)</f>
        <v>45280</v>
      </c>
      <c r="W30" s="2519"/>
      <c r="X30" s="2519"/>
      <c r="Y30" s="2519"/>
      <c r="Z30" s="2519"/>
      <c r="AA30" s="2519"/>
      <c r="AB30" s="2519"/>
      <c r="AC30" s="2001"/>
      <c r="AD30" s="2519" t="str">
        <f>IF(TITLE_DATE_PR_CHANGE="",IF(TITLE_DATE_PR="","",TITLE_DATE_PR),TITLE_DATE_PR_CHANGE)</f>
        <v>45280</v>
      </c>
      <c r="AE30" s="2519"/>
      <c r="AF30" s="2519"/>
      <c r="AG30" s="2519"/>
      <c r="AH30" s="2519"/>
      <c r="AI30" s="2519"/>
      <c r="AJ30" s="2519"/>
      <c r="AK30" s="2001"/>
      <c r="AL30" s="2001"/>
      <c r="AM30" s="641"/>
      <c r="AN30" s="729"/>
      <c r="AO30" s="729"/>
      <c r="AP30" s="729"/>
      <c r="AQ30" s="729"/>
      <c r="AR30" s="729"/>
    </row>
    <row s="32230" customFormat="1" customHeight="1" ht="18.75" hidden="1">
      <c r="A31" s="1613"/>
      <c r="B31" s="1613"/>
      <c r="C31" s="1613"/>
      <c r="D31" s="1613"/>
      <c r="E31" s="1613"/>
      <c r="F31" s="1613"/>
      <c r="G31" s="1613"/>
      <c r="H31" s="1613"/>
      <c r="I31" s="1613"/>
      <c r="J31" s="1613"/>
      <c r="K31" s="1613"/>
      <c r="L31" s="1746"/>
      <c r="M31" s="1613"/>
      <c r="N31" s="1613"/>
      <c r="O31" s="1613"/>
      <c r="S31" s="2518" t="s">
        <v>463</v>
      </c>
      <c r="T31" s="2518"/>
      <c r="U31" s="1738"/>
      <c r="V31" s="2520" t="str">
        <f>IF(TITLE_NUMBER_PR_CHANGE="",IF(TITLE_NUMBER_PR="","",TITLE_NUMBER_PR),TITLE_NUMBER_PR_CHANGE)</f>
        <v>51/16</v>
      </c>
      <c r="W31" s="2520"/>
      <c r="X31" s="2520"/>
      <c r="Y31" s="2520"/>
      <c r="Z31" s="2520"/>
      <c r="AA31" s="2520"/>
      <c r="AB31" s="2520"/>
      <c r="AC31" s="2001"/>
      <c r="AD31" s="2520" t="str">
        <f>IF(TITLE_NUMBER_PR_CHANGE="",IF(TITLE_NUMBER_PR="","",TITLE_NUMBER_PR),TITLE_NUMBER_PR_CHANGE)</f>
        <v>51/16</v>
      </c>
      <c r="AE31" s="2520"/>
      <c r="AF31" s="2520"/>
      <c r="AG31" s="2520"/>
      <c r="AH31" s="2520"/>
      <c r="AI31" s="2520"/>
      <c r="AJ31" s="2520"/>
      <c r="AK31" s="2001"/>
      <c r="AL31" s="2001"/>
      <c r="AM31" s="641"/>
      <c r="AN31" s="729"/>
      <c r="AO31" s="729"/>
      <c r="AP31" s="729"/>
      <c r="AQ31" s="729"/>
      <c r="AR31" s="729"/>
    </row>
    <row s="32230" customFormat="1" customHeight="1" ht="18.75" hidden="1">
      <c r="A32" s="1613"/>
      <c r="B32" s="1613"/>
      <c r="C32" s="1613"/>
      <c r="D32" s="1613"/>
      <c r="E32" s="1613"/>
      <c r="F32" s="1613"/>
      <c r="G32" s="1613"/>
      <c r="H32" s="1613"/>
      <c r="I32" s="1613"/>
      <c r="J32" s="1613"/>
      <c r="K32" s="1613"/>
      <c r="L32" s="1746"/>
      <c r="M32" s="1613"/>
      <c r="N32" s="1613"/>
      <c r="O32" s="1613"/>
      <c r="S32" s="2518" t="s">
        <v>40</v>
      </c>
      <c r="T32" s="2518"/>
      <c r="U32" s="1738"/>
      <c r="V32" s="2520" t="str">
        <f>IF(TITLE_IST_PUB_CHANGE="",IF(TITLE_IST_PUB="","",TITLE_IST_PUB),TITLE_IST_PUB_CHANGE)</f>
        <v>https://npa.gov-murman.ru/bitrix/components/b1team/govmurman.element.file/download.php?ID=508455&amp;FID=750728</v>
      </c>
      <c r="W32" s="2520"/>
      <c r="X32" s="2520"/>
      <c r="Y32" s="2520"/>
      <c r="Z32" s="2520"/>
      <c r="AA32" s="2520"/>
      <c r="AB32" s="2520"/>
      <c r="AC32" s="2001"/>
      <c r="AD32" s="2520" t="str">
        <f>IF(TITLE_IST_PUB_CHANGE="",IF(TITLE_IST_PUB="","",TITLE_IST_PUB),TITLE_IST_PUB_CHANGE)</f>
        <v>https://npa.gov-murman.ru/bitrix/components/b1team/govmurman.element.file/download.php?ID=508455&amp;FID=750728</v>
      </c>
      <c r="AE32" s="2520"/>
      <c r="AF32" s="2520"/>
      <c r="AG32" s="2520"/>
      <c r="AH32" s="2520"/>
      <c r="AI32" s="2520"/>
      <c r="AJ32" s="2520"/>
      <c r="AK32" s="2001"/>
      <c r="AL32" s="2001"/>
      <c r="AM32" s="641"/>
      <c r="AN32" s="729"/>
      <c r="AO32" s="729"/>
      <c r="AP32" s="729"/>
      <c r="AQ32" s="729"/>
      <c r="AR32" s="729"/>
    </row>
    <row customHeight="1" ht="14.25" hidden="1">
      <c r="Q33" s="737"/>
      <c r="R33" s="737"/>
      <c r="S33" s="1641"/>
      <c r="T33" s="818"/>
      <c r="U33" s="818"/>
      <c r="V33" s="683"/>
      <c r="W33" s="683"/>
      <c r="X33" s="683"/>
      <c r="Y33" s="683"/>
      <c r="Z33" s="683"/>
      <c r="AA33" s="683"/>
      <c r="AB33" s="683"/>
      <c r="AC33" s="683"/>
      <c r="AD33" s="683"/>
      <c r="AE33" s="683"/>
      <c r="AF33" s="683"/>
      <c r="AG33" s="683"/>
      <c r="AH33" s="683"/>
      <c r="AI33" s="683"/>
      <c r="AJ33" s="683"/>
      <c r="AK33" s="683"/>
      <c r="AL33" s="2001"/>
    </row>
    <row s="32230" customFormat="1" customHeight="1" ht="18.75" hidden="1">
      <c r="A34" s="1613"/>
      <c r="B34" s="1613"/>
      <c r="C34" s="1613"/>
      <c r="D34" s="1613"/>
      <c r="E34" s="1613"/>
      <c r="F34" s="1613"/>
      <c r="G34" s="1613"/>
      <c r="H34" s="1613"/>
      <c r="I34" s="1613"/>
      <c r="J34" s="1613"/>
      <c r="K34" s="1613"/>
      <c r="L34" s="1746"/>
      <c r="M34" s="1613"/>
      <c r="N34" s="1613"/>
      <c r="O34" s="1613"/>
      <c r="S34" s="2518" t="s">
        <v>464</v>
      </c>
      <c r="T34" s="2518"/>
      <c r="U34" s="1738"/>
      <c r="V34" s="2519" t="str">
        <f>IF(TITLE_DATE_PR_CHANGE="",IF(TITLE_DATE_PR="","",TITLE_DATE_PR),TITLE_DATE_PR_CHANGE)</f>
        <v>45280</v>
      </c>
      <c r="W34" s="2519"/>
      <c r="X34" s="2519"/>
      <c r="Y34" s="2519"/>
      <c r="Z34" s="2519"/>
      <c r="AA34" s="2519"/>
      <c r="AB34" s="2519"/>
      <c r="AC34" s="2001"/>
      <c r="AD34" s="2519" t="str">
        <f>IF(TITLE_DATE_PR_CHANGE="",IF(TITLE_DATE_PR="","",TITLE_DATE_PR),TITLE_DATE_PR_CHANGE)</f>
        <v>45280</v>
      </c>
      <c r="AE34" s="2519"/>
      <c r="AF34" s="2519"/>
      <c r="AG34" s="2519"/>
      <c r="AH34" s="2519"/>
      <c r="AI34" s="2519"/>
      <c r="AJ34" s="2519"/>
      <c r="AK34" s="2001"/>
      <c r="AL34" s="2001"/>
      <c r="AM34" s="641"/>
      <c r="AN34" s="729"/>
      <c r="AO34" s="729"/>
      <c r="AP34" s="729"/>
      <c r="AQ34" s="729"/>
      <c r="AR34" s="729"/>
    </row>
    <row s="32230" customFormat="1" customHeight="1" ht="18.75" hidden="1">
      <c r="A35" s="1613"/>
      <c r="B35" s="1613"/>
      <c r="C35" s="1613"/>
      <c r="D35" s="1613"/>
      <c r="E35" s="1613"/>
      <c r="F35" s="1613"/>
      <c r="G35" s="1613"/>
      <c r="H35" s="1613"/>
      <c r="I35" s="1613"/>
      <c r="J35" s="1613"/>
      <c r="K35" s="1613"/>
      <c r="L35" s="1746"/>
      <c r="M35" s="1613"/>
      <c r="N35" s="1613"/>
      <c r="O35" s="1613"/>
      <c r="S35" s="2518" t="s">
        <v>465</v>
      </c>
      <c r="T35" s="2518"/>
      <c r="U35" s="1738"/>
      <c r="V35" s="2520" t="str">
        <f>IF(TITLE_NUMBER_PR_CHANGE="",IF(TITLE_NUMBER_PR="","",TITLE_NUMBER_PR),TITLE_NUMBER_PR_CHANGE)</f>
        <v>51/16</v>
      </c>
      <c r="W35" s="2520"/>
      <c r="X35" s="2520"/>
      <c r="Y35" s="2520"/>
      <c r="Z35" s="2520"/>
      <c r="AA35" s="2520"/>
      <c r="AB35" s="2520"/>
      <c r="AC35" s="2001"/>
      <c r="AD35" s="2520" t="str">
        <f>IF(TITLE_NUMBER_PR_CHANGE="",IF(TITLE_NUMBER_PR="","",TITLE_NUMBER_PR),TITLE_NUMBER_PR_CHANGE)</f>
        <v>51/16</v>
      </c>
      <c r="AE35" s="2520"/>
      <c r="AF35" s="2520"/>
      <c r="AG35" s="2520"/>
      <c r="AH35" s="2520"/>
      <c r="AI35" s="2520"/>
      <c r="AJ35" s="2520"/>
      <c r="AK35" s="2001"/>
      <c r="AL35" s="2001"/>
      <c r="AM35" s="641"/>
      <c r="AN35" s="729"/>
      <c r="AO35" s="729"/>
      <c r="AP35" s="729"/>
      <c r="AQ35" s="729"/>
      <c r="AR35" s="729"/>
    </row>
    <row s="32230" customFormat="1" customHeight="1" ht="0">
      <c r="A36" s="1613"/>
      <c r="B36" s="1613"/>
      <c r="C36" s="1613"/>
      <c r="D36" s="1613"/>
      <c r="E36" s="1613"/>
      <c r="F36" s="1613"/>
      <c r="G36" s="1613"/>
      <c r="H36" s="1613"/>
      <c r="I36" s="1613"/>
      <c r="J36" s="1613"/>
      <c r="K36" s="1613"/>
      <c r="L36" s="1746"/>
      <c r="M36" s="1613"/>
      <c r="N36" s="1613"/>
      <c r="O36" s="1613"/>
      <c r="S36" s="2001"/>
      <c r="T36" s="2001"/>
      <c r="U36" s="2337"/>
      <c r="V36" s="2001"/>
      <c r="W36" s="2001"/>
      <c r="X36" s="2001"/>
      <c r="Y36" s="2001"/>
      <c r="Z36" s="2001"/>
      <c r="AA36" s="2001"/>
      <c r="AB36" s="2001"/>
      <c r="AC36" s="2008" t="s">
        <v>466</v>
      </c>
      <c r="AD36" s="2001"/>
      <c r="AE36" s="2001"/>
      <c r="AF36" s="2001"/>
      <c r="AG36" s="2001"/>
      <c r="AH36" s="2001"/>
      <c r="AI36" s="2001"/>
      <c r="AJ36" s="2001"/>
      <c r="AK36" s="2008" t="s">
        <v>466</v>
      </c>
      <c r="AN36" s="729"/>
      <c r="AO36" s="729"/>
      <c r="AP36" s="729"/>
      <c r="AQ36" s="729"/>
      <c r="AR36" s="729"/>
    </row>
    <row customHeight="1" ht="14.25">
      <c r="Q37" s="737"/>
      <c r="R37" s="737"/>
      <c r="S37" s="1641"/>
      <c r="T37" s="818"/>
      <c r="U37" s="1609"/>
      <c r="V37" s="2544"/>
      <c r="W37" s="2544"/>
      <c r="X37" s="2544"/>
      <c r="Y37" s="2544"/>
      <c r="Z37" s="2544"/>
      <c r="AA37" s="2544"/>
      <c r="AB37" s="2544"/>
      <c r="AC37" s="2544"/>
      <c r="AD37" s="2544"/>
      <c r="AE37" s="2544"/>
      <c r="AF37" s="2544"/>
      <c r="AG37" s="2544"/>
      <c r="AH37" s="2544"/>
      <c r="AI37" s="2544"/>
      <c r="AJ37" s="2544"/>
      <c r="AK37" s="2544"/>
    </row>
    <row customHeight="1" ht="14.25">
      <c r="Q38" s="737"/>
      <c r="R38" s="737"/>
      <c r="S38" s="2392" t="s">
        <v>341</v>
      </c>
      <c r="T38" s="2392"/>
      <c r="U38" s="2392"/>
      <c r="V38" s="2392"/>
      <c r="W38" s="2392"/>
      <c r="X38" s="2392"/>
      <c r="Y38" s="2392"/>
      <c r="Z38" s="2392"/>
      <c r="AA38" s="2392"/>
      <c r="AB38" s="2392"/>
      <c r="AC38" s="2392"/>
      <c r="AD38" s="2392"/>
      <c r="AE38" s="2392"/>
      <c r="AF38" s="2392"/>
      <c r="AG38" s="2392"/>
      <c r="AH38" s="2392"/>
      <c r="AI38" s="2392"/>
      <c r="AJ38" s="2392"/>
      <c r="AK38" s="2392"/>
      <c r="AL38" s="2392"/>
      <c r="AM38" s="2392" t="s">
        <v>342</v>
      </c>
    </row>
    <row customHeight="1" ht="14.25">
      <c r="Q39" s="737"/>
      <c r="R39" s="737"/>
      <c r="S39" s="2545" t="s">
        <v>87</v>
      </c>
      <c r="T39" s="2482" t="s">
        <v>467</v>
      </c>
      <c r="U39" s="698"/>
      <c r="V39" s="2546" t="s">
        <v>468</v>
      </c>
      <c r="W39" s="2547"/>
      <c r="X39" s="2547"/>
      <c r="Y39" s="2547"/>
      <c r="Z39" s="2547"/>
      <c r="AA39" s="2547"/>
      <c r="AB39" s="2548"/>
      <c r="AC39" s="2549" t="s">
        <v>469</v>
      </c>
      <c r="AD39" s="2546" t="s">
        <v>468</v>
      </c>
      <c r="AE39" s="2547"/>
      <c r="AF39" s="2547"/>
      <c r="AG39" s="2547"/>
      <c r="AH39" s="2547"/>
      <c r="AI39" s="2547"/>
      <c r="AJ39" s="2548"/>
      <c r="AK39" s="2549" t="s">
        <v>470</v>
      </c>
      <c r="AL39" s="2552" t="s">
        <v>471</v>
      </c>
      <c r="AM39" s="2392"/>
    </row>
    <row customHeight="1" ht="33.75">
      <c r="Q40" s="737"/>
      <c r="R40" s="737"/>
      <c r="S40" s="2545"/>
      <c r="T40" s="2482"/>
      <c r="U40" s="1393"/>
      <c r="V40" s="2555" t="s">
        <v>472</v>
      </c>
      <c r="W40" s="2536" t="s">
        <v>473</v>
      </c>
      <c r="X40" s="2538" t="s">
        <v>474</v>
      </c>
      <c r="Y40" s="2540"/>
      <c r="Z40" s="2538" t="s">
        <v>487</v>
      </c>
      <c r="AA40" s="2539"/>
      <c r="AB40" s="2540"/>
      <c r="AC40" s="2550"/>
      <c r="AD40" s="2555" t="s">
        <v>472</v>
      </c>
      <c r="AE40" s="2536" t="s">
        <v>473</v>
      </c>
      <c r="AF40" s="2538" t="s">
        <v>474</v>
      </c>
      <c r="AG40" s="2540"/>
      <c r="AH40" s="2538" t="s">
        <v>475</v>
      </c>
      <c r="AI40" s="2539"/>
      <c r="AJ40" s="2540"/>
      <c r="AK40" s="2550"/>
      <c r="AL40" s="2553"/>
      <c r="AM40" s="2392"/>
    </row>
    <row customHeight="1" ht="33.75">
      <c r="A41" s="1632"/>
      <c r="B41" s="1632" t="s">
        <v>143</v>
      </c>
      <c r="C41" s="1632" t="s">
        <v>144</v>
      </c>
      <c r="D41" s="1632" t="s">
        <v>145</v>
      </c>
      <c r="E41" s="1676" t="s">
        <v>476</v>
      </c>
      <c r="F41" s="1676" t="s">
        <v>477</v>
      </c>
      <c r="G41" s="1676" t="s">
        <v>478</v>
      </c>
      <c r="H41" s="1676" t="s">
        <v>479</v>
      </c>
      <c r="I41" s="1676" t="s">
        <v>480</v>
      </c>
      <c r="J41" s="1676" t="s">
        <v>481</v>
      </c>
      <c r="K41" s="1676" t="s">
        <v>482</v>
      </c>
      <c r="L41" s="1676" t="s">
        <v>457</v>
      </c>
      <c r="Q41" s="737"/>
      <c r="R41" s="737"/>
      <c r="S41" s="2545"/>
      <c r="T41" s="2482"/>
      <c r="U41" s="663"/>
      <c r="V41" s="2556"/>
      <c r="W41" s="2537"/>
      <c r="X41" s="2305" t="s">
        <v>483</v>
      </c>
      <c r="Y41" s="2305" t="s">
        <v>484</v>
      </c>
      <c r="Z41" s="2305" t="s">
        <v>485</v>
      </c>
      <c r="AA41" s="2541" t="s">
        <v>486</v>
      </c>
      <c r="AB41" s="2542"/>
      <c r="AC41" s="2551"/>
      <c r="AD41" s="2556"/>
      <c r="AE41" s="2537"/>
      <c r="AF41" s="2305" t="s">
        <v>483</v>
      </c>
      <c r="AG41" s="2305" t="s">
        <v>484</v>
      </c>
      <c r="AH41" s="2305" t="s">
        <v>485</v>
      </c>
      <c r="AI41" s="2541" t="s">
        <v>486</v>
      </c>
      <c r="AJ41" s="2542"/>
      <c r="AK41" s="2551"/>
      <c r="AL41" s="2554"/>
      <c r="AM41" s="2392"/>
    </row>
    <row s="32338" customFormat="1" customHeight="1" ht="11.25" hidden="1">
      <c r="A42" s="1632"/>
      <c r="B42" s="1632"/>
      <c r="C42" s="1632"/>
      <c r="D42" s="1632"/>
      <c r="E42" s="1632"/>
      <c r="F42" s="1632"/>
      <c r="G42" s="1632"/>
      <c r="H42" s="1632"/>
      <c r="I42" s="1632"/>
      <c r="J42" s="1632"/>
      <c r="K42" s="1632"/>
      <c r="L42" s="1676"/>
      <c r="M42" s="2332"/>
      <c r="N42" s="2332"/>
      <c r="O42" s="2332"/>
      <c r="P42" s="1611"/>
      <c r="Q42" s="1612"/>
      <c r="R42" s="1619">
        <v>1</v>
      </c>
      <c r="S42" s="1643" t="s">
        <v>118</v>
      </c>
      <c r="T42" s="1620" t="s">
        <v>102</v>
      </c>
      <c r="U42" s="1610" t="str">
        <f>OFFSET(U42,0,-1)</f>
        <v>2</v>
      </c>
      <c r="V42" s="2323">
        <f>OFFSET(V42,0,-1)+1</f>
        <v>3</v>
      </c>
      <c r="W42" s="2323"/>
      <c r="X42" s="2323">
        <f>OFFSET(X42,0,-1)+1</f>
        <v>1</v>
      </c>
      <c r="Y42" s="2323">
        <f>OFFSET(Y42,0,-1)+1</f>
        <v>2</v>
      </c>
      <c r="Z42" s="2323">
        <f>OFFSET(Z42,0,-1)+1</f>
        <v>3</v>
      </c>
      <c r="AA42" s="2543">
        <f>OFFSET(AA42,0,-1)+1</f>
        <v>4</v>
      </c>
      <c r="AB42" s="2543"/>
      <c r="AC42" s="2323">
        <f>OFFSET(AC42,0,-2)+1</f>
        <v>5</v>
      </c>
      <c r="AD42" s="2323">
        <f>OFFSET(AD42,0,-1)+1</f>
        <v>6</v>
      </c>
      <c r="AE42" s="2323"/>
      <c r="AF42" s="2323">
        <f>OFFSET(AF42,0,-1)+1</f>
        <v>1</v>
      </c>
      <c r="AG42" s="2323">
        <f>OFFSET(AG42,0,-1)+1</f>
        <v>2</v>
      </c>
      <c r="AH42" s="2323">
        <f>OFFSET(AH42,0,-1)+1</f>
        <v>3</v>
      </c>
      <c r="AI42" s="2543">
        <f>OFFSET(AI42,0,-1)+1</f>
        <v>4</v>
      </c>
      <c r="AJ42" s="2543"/>
      <c r="AK42" s="2323">
        <f>OFFSET(AK42,0,-2)+1</f>
        <v>5</v>
      </c>
      <c r="AL42" s="1610">
        <f>OFFSET(AL42,0,-1)</f>
        <v>5</v>
      </c>
      <c r="AM42" s="2323">
        <f>OFFSET(AM42,0,-1)+1</f>
        <v>6</v>
      </c>
      <c r="AN42" s="2002"/>
      <c r="AO42" s="2002"/>
      <c r="AP42" s="2002"/>
      <c r="AQ42" s="2002"/>
      <c r="AR42" s="2002"/>
    </row>
    <row customHeight="1" ht="21">
      <c r="A43" s="1633" t="s">
        <v>216</v>
      </c>
      <c r="B43" s="1633"/>
      <c r="C43" s="1633"/>
      <c r="D43" s="1633"/>
      <c r="E43" s="2562">
        <v>1</v>
      </c>
      <c r="F43" s="1633"/>
      <c r="G43" s="1633"/>
      <c r="H43" s="1633"/>
      <c r="I43" s="1633"/>
      <c r="J43" s="1633"/>
      <c r="K43" s="1633"/>
      <c r="L43" s="1676"/>
      <c r="M43" s="1976"/>
      <c r="N43" s="1976"/>
      <c r="O43" s="1976"/>
      <c r="P43" s="1956"/>
      <c r="Q43" s="721"/>
      <c r="R43" s="716"/>
      <c r="S43" s="2325">
        <f>INDEX(PT_DIFFERENTIATION_NUM_NTAR,MATCH(A43,PT_DIFFERENTIATION_NTAR_ID,0))</f>
        <v>0</v>
      </c>
      <c r="T43" s="1891" t="s">
        <v>131</v>
      </c>
      <c r="U43" s="661"/>
      <c r="V43" s="2521"/>
      <c r="W43" s="2522"/>
      <c r="X43" s="2522"/>
      <c r="Y43" s="2522"/>
      <c r="Z43" s="2522"/>
      <c r="AA43" s="2522"/>
      <c r="AB43" s="2522"/>
      <c r="AC43" s="2523"/>
      <c r="AD43" s="2521" t="str">
        <f>INDEX(PT_DIFFERENTIATION_NTAR,MATCH(A43,PT_DIFFERENTIATION_NTAR_ID,0))</f>
        <v/>
      </c>
      <c r="AE43" s="2522"/>
      <c r="AF43" s="2522"/>
      <c r="AG43" s="2522"/>
      <c r="AH43" s="2522"/>
      <c r="AI43" s="2522"/>
      <c r="AJ43" s="2522"/>
      <c r="AK43" s="2522"/>
      <c r="AL43" s="2523"/>
      <c r="AM43" s="16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990"/>
      <c r="AP43" s="1990" t="str">
        <f>IF(T43="","",T43)</f>
        <v>Наименование тарифа</v>
      </c>
      <c r="AQ43" s="1990"/>
      <c r="AR43" s="1990"/>
    </row>
    <row customHeight="1" ht="21">
      <c r="A44" s="1633" t="s">
        <v>216</v>
      </c>
      <c r="B44" s="1633" t="s">
        <v>217</v>
      </c>
      <c r="C44" s="1633"/>
      <c r="D44" s="1633"/>
      <c r="E44" s="2563"/>
      <c r="F44" s="2562">
        <v>1</v>
      </c>
      <c r="G44" s="1633"/>
      <c r="H44" s="1633"/>
      <c r="I44" s="1633"/>
      <c r="J44" s="1633"/>
      <c r="K44" s="1633"/>
      <c r="L44" s="1676"/>
      <c r="M44" s="1976"/>
      <c r="N44" s="1976"/>
      <c r="O44" s="1976"/>
      <c r="P44" s="2307"/>
      <c r="Q44" s="713"/>
      <c r="R44" s="714"/>
      <c r="S44" s="2325" t="str">
        <f>INDEX(PT_DIFFERENTIATION_NUM_TER,MATCH(B44,PT_DIFFERENTIATION_TER_ID,0))</f>
        <v>.</v>
      </c>
      <c r="T44" s="1888" t="s">
        <v>438</v>
      </c>
      <c r="U44" s="661"/>
      <c r="V44" s="2521"/>
      <c r="W44" s="2522"/>
      <c r="X44" s="2522"/>
      <c r="Y44" s="2522"/>
      <c r="Z44" s="2522"/>
      <c r="AA44" s="2522"/>
      <c r="AB44" s="2522"/>
      <c r="AC44" s="2523"/>
      <c r="AD44" s="2521" t="str">
        <f>INDEX(PT_DIFFERENTIATION_TER,MATCH(B44,PT_DIFFERENTIATION_TER_ID,0))</f>
        <v/>
      </c>
      <c r="AE44" s="2522"/>
      <c r="AF44" s="2522"/>
      <c r="AG44" s="2522"/>
      <c r="AH44" s="2522"/>
      <c r="AI44" s="2522"/>
      <c r="AJ44" s="2522"/>
      <c r="AK44" s="2522"/>
      <c r="AL44" s="2523"/>
      <c r="AM44" s="1623" t="s">
        <v>439</v>
      </c>
      <c r="AO44" s="1990"/>
      <c r="AP44" s="1990" t="str">
        <f>IF(T44="","",T44)</f>
        <v>Территория действия тарифа</v>
      </c>
      <c r="AQ44" s="1990"/>
      <c r="AR44" s="1990"/>
    </row>
    <row customHeight="1" ht="23.25">
      <c r="A45" s="1633" t="s">
        <v>216</v>
      </c>
      <c r="B45" s="1633" t="s">
        <v>217</v>
      </c>
      <c r="C45" s="1633" t="s">
        <v>218</v>
      </c>
      <c r="D45" s="1633"/>
      <c r="E45" s="2563"/>
      <c r="F45" s="2563"/>
      <c r="G45" s="2562">
        <v>1</v>
      </c>
      <c r="H45" s="1633"/>
      <c r="I45" s="1633"/>
      <c r="J45" s="1633"/>
      <c r="K45" s="1633"/>
      <c r="L45" s="1676"/>
      <c r="M45" s="1976"/>
      <c r="N45" s="1976"/>
      <c r="O45" s="1976"/>
      <c r="P45" s="715"/>
      <c r="Q45" s="713"/>
      <c r="R45" s="714"/>
      <c r="S45" s="2325" t="str">
        <f>INDEX(PT_DIFFERENTIATION_NUM_CS,MATCH(C45,PT_DIFFERENTIATION_CS_ID,0))</f>
        <v>..</v>
      </c>
      <c r="T45" s="670" t="s">
        <v>440</v>
      </c>
      <c r="U45" s="661"/>
      <c r="V45" s="2521"/>
      <c r="W45" s="2522"/>
      <c r="X45" s="2522"/>
      <c r="Y45" s="2522"/>
      <c r="Z45" s="2522"/>
      <c r="AA45" s="2522"/>
      <c r="AB45" s="2522"/>
      <c r="AC45" s="2523"/>
      <c r="AD45" s="2521" t="str">
        <f>INDEX(PT_DIFFERENTIATION_CS,MATCH(C45,PT_DIFFERENTIATION_CS_ID,0))</f>
        <v/>
      </c>
      <c r="AE45" s="2522"/>
      <c r="AF45" s="2522"/>
      <c r="AG45" s="2522"/>
      <c r="AH45" s="2522"/>
      <c r="AI45" s="2522"/>
      <c r="AJ45" s="2522"/>
      <c r="AK45" s="2522"/>
      <c r="AL45" s="2523"/>
      <c r="AM45" s="1623" t="s">
        <v>441</v>
      </c>
      <c r="AO45" s="1990"/>
      <c r="AP45" s="1990" t="str">
        <f>IF(T45="","",T45)</f>
        <v>Наименование системы теплоснабжения </v>
      </c>
      <c r="AQ45" s="1990"/>
      <c r="AR45" s="1990"/>
    </row>
    <row customHeight="1" ht="21">
      <c r="A46" s="1633" t="s">
        <v>216</v>
      </c>
      <c r="B46" s="1633" t="s">
        <v>217</v>
      </c>
      <c r="C46" s="1633" t="s">
        <v>218</v>
      </c>
      <c r="D46" s="1633" t="s">
        <v>219</v>
      </c>
      <c r="E46" s="2563"/>
      <c r="F46" s="2563"/>
      <c r="G46" s="2563"/>
      <c r="H46" s="2562">
        <v>1</v>
      </c>
      <c r="I46" s="1633"/>
      <c r="J46" s="1633"/>
      <c r="K46" s="1633"/>
      <c r="L46" s="1676"/>
      <c r="M46" s="1976"/>
      <c r="N46" s="1976"/>
      <c r="O46" s="1976"/>
      <c r="P46" s="715"/>
      <c r="Q46" s="713"/>
      <c r="R46" s="714"/>
      <c r="S46" s="2325" t="str">
        <f>INDEX(PT_DIFFERENTIATION_NUM_IST_TE,MATCH(D46,PT_DIFFERENTIATION_IST_TE_ID,0))</f>
        <v>...</v>
      </c>
      <c r="T46" s="671" t="s">
        <v>442</v>
      </c>
      <c r="U46" s="661"/>
      <c r="V46" s="2521"/>
      <c r="W46" s="2522"/>
      <c r="X46" s="2522"/>
      <c r="Y46" s="2522"/>
      <c r="Z46" s="2522"/>
      <c r="AA46" s="2522"/>
      <c r="AB46" s="2522"/>
      <c r="AC46" s="2523"/>
      <c r="AD46" s="2521" t="str">
        <f>INDEX(PT_DIFFERENTIATION_IST_TE,MATCH(D46,PT_DIFFERENTIATION_IST_TE_ID,0))</f>
        <v/>
      </c>
      <c r="AE46" s="2522"/>
      <c r="AF46" s="2522"/>
      <c r="AG46" s="2522"/>
      <c r="AH46" s="2522"/>
      <c r="AI46" s="2522"/>
      <c r="AJ46" s="2522"/>
      <c r="AK46" s="2522"/>
      <c r="AL46" s="2523"/>
      <c r="AM46" s="1623" t="s">
        <v>443</v>
      </c>
      <c r="AO46" s="1990"/>
      <c r="AP46" s="1990" t="str">
        <f>IF(T46="","",T46)</f>
        <v>Источник тепловой энергии  </v>
      </c>
      <c r="AQ46" s="1990"/>
      <c r="AR46" s="1990"/>
    </row>
    <row customHeight="1" ht="47.25">
      <c r="A47" s="1633" t="s">
        <v>216</v>
      </c>
      <c r="B47" s="1633" t="s">
        <v>217</v>
      </c>
      <c r="C47" s="1633" t="s">
        <v>218</v>
      </c>
      <c r="D47" s="1633" t="s">
        <v>219</v>
      </c>
      <c r="E47" s="2563"/>
      <c r="F47" s="2563"/>
      <c r="G47" s="2563"/>
      <c r="H47" s="2563"/>
      <c r="I47" s="2392" t="str">
        <f>S46&amp;".1"</f>
        <v>....1</v>
      </c>
      <c r="J47" s="1633"/>
      <c r="K47" s="1633"/>
      <c r="L47" s="1676" t="s">
        <v>444</v>
      </c>
      <c r="P47" s="2531">
        <v>1</v>
      </c>
      <c r="Q47" s="2321"/>
      <c r="R47" s="717"/>
      <c r="S47" s="2325" t="str">
        <f>$I47</f>
        <v>....1</v>
      </c>
      <c r="T47" s="646" t="s">
        <v>445</v>
      </c>
      <c r="U47" s="661"/>
      <c r="V47" s="2515"/>
      <c r="W47" s="2516"/>
      <c r="X47" s="2516"/>
      <c r="Y47" s="2516"/>
      <c r="Z47" s="2516"/>
      <c r="AA47" s="2516"/>
      <c r="AB47" s="2516"/>
      <c r="AC47" s="2517"/>
      <c r="AD47" s="2515"/>
      <c r="AE47" s="2516"/>
      <c r="AF47" s="2516"/>
      <c r="AG47" s="2516"/>
      <c r="AH47" s="2516"/>
      <c r="AI47" s="2516"/>
      <c r="AJ47" s="2516"/>
      <c r="AK47" s="2516"/>
      <c r="AL47" s="2517"/>
      <c r="AM47" s="1623" t="s">
        <v>446</v>
      </c>
      <c r="AO47" s="1990"/>
      <c r="AP47" s="1990" t="str">
        <f>IF(T47="","",T47)</f>
        <v>Схема подключения теплопотребляющей установки к коллектору источника тепловой энергии</v>
      </c>
      <c r="AQ47" s="1990"/>
      <c r="AR47" s="1990"/>
    </row>
    <row customHeight="1" ht="21">
      <c r="A48" s="1633" t="s">
        <v>216</v>
      </c>
      <c r="B48" s="1633" t="s">
        <v>217</v>
      </c>
      <c r="C48" s="1633" t="s">
        <v>218</v>
      </c>
      <c r="D48" s="1633" t="s">
        <v>219</v>
      </c>
      <c r="E48" s="2563"/>
      <c r="F48" s="2563"/>
      <c r="G48" s="2563"/>
      <c r="H48" s="2563"/>
      <c r="I48" s="2376"/>
      <c r="J48" s="2392" t="str">
        <f>I47&amp;".1"</f>
        <v>....1.1</v>
      </c>
      <c r="K48" s="1633"/>
      <c r="L48" s="1676" t="s">
        <v>447</v>
      </c>
      <c r="P48" s="2531"/>
      <c r="Q48" s="2531">
        <v>1</v>
      </c>
      <c r="R48" s="718"/>
      <c r="S48" s="2325" t="str">
        <f>$J48</f>
        <v>....1.1</v>
      </c>
      <c r="T48" s="647" t="s">
        <v>448</v>
      </c>
      <c r="U48" s="661"/>
      <c r="V48" s="2515"/>
      <c r="W48" s="2516"/>
      <c r="X48" s="2516"/>
      <c r="Y48" s="2516"/>
      <c r="Z48" s="2516"/>
      <c r="AA48" s="2516"/>
      <c r="AB48" s="2516"/>
      <c r="AC48" s="2517"/>
      <c r="AD48" s="2515"/>
      <c r="AE48" s="2516"/>
      <c r="AF48" s="2516"/>
      <c r="AG48" s="2516"/>
      <c r="AH48" s="2516"/>
      <c r="AI48" s="2516"/>
      <c r="AJ48" s="2516"/>
      <c r="AK48" s="2516"/>
      <c r="AL48" s="2517"/>
      <c r="AM48" s="1623" t="s">
        <v>449</v>
      </c>
      <c r="AO48" s="1990"/>
      <c r="AP48" s="1990" t="str">
        <f>IF(T48="","",T48)</f>
        <v>Группа потребителей</v>
      </c>
      <c r="AQ48" s="1990"/>
      <c r="AR48" s="1990"/>
    </row>
    <row customHeight="1" ht="21">
      <c r="A49" s="1633" t="s">
        <v>216</v>
      </c>
      <c r="B49" s="1633" t="s">
        <v>217</v>
      </c>
      <c r="C49" s="1633" t="s">
        <v>218</v>
      </c>
      <c r="D49" s="1633" t="s">
        <v>219</v>
      </c>
      <c r="E49" s="2563"/>
      <c r="F49" s="2563"/>
      <c r="G49" s="2563"/>
      <c r="H49" s="2563"/>
      <c r="I49" s="2376"/>
      <c r="J49" s="2376"/>
      <c r="K49" s="2392" t="str">
        <f>J48&amp;".1"</f>
        <v>....1.1.1</v>
      </c>
      <c r="L49" s="1676" t="s">
        <v>450</v>
      </c>
      <c r="P49" s="2531"/>
      <c r="Q49" s="2531"/>
      <c r="R49" s="718">
        <v>1</v>
      </c>
      <c r="S49" s="2325" t="str">
        <f>$K49</f>
        <v>....1.1.1</v>
      </c>
      <c r="T49" s="1713"/>
      <c r="U49" s="661"/>
      <c r="V49" s="1112"/>
      <c r="W49" s="686"/>
      <c r="X49" s="1112"/>
      <c r="Y49" s="1622"/>
      <c r="Z49" s="2532"/>
      <c r="AA49" s="2402" t="s">
        <v>66</v>
      </c>
      <c r="AB49" s="2532"/>
      <c r="AC49" s="2402" t="s">
        <v>66</v>
      </c>
      <c r="AD49" s="1112"/>
      <c r="AE49" s="686"/>
      <c r="AF49" s="1112"/>
      <c r="AG49" s="1622"/>
      <c r="AH49" s="2532"/>
      <c r="AI49" s="2402" t="s">
        <v>66</v>
      </c>
      <c r="AJ49" s="2534"/>
      <c r="AK49" s="2402" t="s">
        <v>66</v>
      </c>
      <c r="AL49" s="1714"/>
      <c r="AM49" s="2557" t="s">
        <v>451</v>
      </c>
      <c r="AN49" s="2002">
        <f>STRCHECKDATE(V50:AL50)</f>
      </c>
      <c r="AO49" s="1990"/>
      <c r="AP49" s="1990" t="str">
        <f>IF(T49="","",T49)</f>
        <v/>
      </c>
      <c r="AQ49" s="1990"/>
      <c r="AR49" s="1990"/>
    </row>
    <row customHeight="1" ht="0.75">
      <c r="A50" s="1633" t="s">
        <v>216</v>
      </c>
      <c r="B50" s="1633" t="s">
        <v>217</v>
      </c>
      <c r="C50" s="1633" t="s">
        <v>218</v>
      </c>
      <c r="D50" s="1633" t="s">
        <v>219</v>
      </c>
      <c r="E50" s="2563"/>
      <c r="F50" s="2563"/>
      <c r="G50" s="2563"/>
      <c r="H50" s="2563"/>
      <c r="I50" s="2376"/>
      <c r="J50" s="2376"/>
      <c r="K50" s="2392"/>
      <c r="L50" s="1676"/>
      <c r="P50" s="2531"/>
      <c r="Q50" s="2531"/>
      <c r="R50" s="718"/>
      <c r="S50" s="2334"/>
      <c r="T50" s="661"/>
      <c r="U50" s="661"/>
      <c r="V50" s="686"/>
      <c r="W50" s="686"/>
      <c r="X50" s="686"/>
      <c r="Y50" s="689" t="str">
        <f>Z49&amp;"-"&amp;AB49</f>
        <v>-</v>
      </c>
      <c r="Z50" s="2533"/>
      <c r="AA50" s="2402"/>
      <c r="AB50" s="2533"/>
      <c r="AC50" s="2402"/>
      <c r="AD50" s="686"/>
      <c r="AE50" s="686"/>
      <c r="AF50" s="686"/>
      <c r="AG50" s="689" t="str">
        <f>AH49&amp;"-"&amp;AJ49</f>
        <v>-</v>
      </c>
      <c r="AH50" s="2533"/>
      <c r="AI50" s="2402"/>
      <c r="AJ50" s="2535"/>
      <c r="AK50" s="2402"/>
      <c r="AL50" s="1715"/>
      <c r="AM50" s="2558"/>
      <c r="AO50" s="1990"/>
      <c r="AP50" s="1990" t="str">
        <f>IF(T50="","",T50)</f>
        <v/>
      </c>
      <c r="AQ50" s="1990"/>
      <c r="AR50" s="1990"/>
    </row>
    <row customHeight="1" ht="11.25">
      <c r="A51" s="1633" t="s">
        <v>216</v>
      </c>
      <c r="B51" s="1633" t="s">
        <v>217</v>
      </c>
      <c r="C51" s="1633" t="s">
        <v>218</v>
      </c>
      <c r="D51" s="1633" t="s">
        <v>219</v>
      </c>
      <c r="E51" s="2563"/>
      <c r="F51" s="2563"/>
      <c r="G51" s="2563"/>
      <c r="H51" s="2563"/>
      <c r="I51" s="2376"/>
      <c r="J51" s="2392"/>
      <c r="K51" s="1633"/>
      <c r="L51" s="1676"/>
      <c r="P51" s="2531"/>
      <c r="Q51" s="2531"/>
      <c r="R51" s="717"/>
      <c r="S51" s="1644"/>
      <c r="T51" s="649" t="s">
        <v>452</v>
      </c>
      <c r="U51" s="961"/>
      <c r="V51" s="961"/>
      <c r="W51" s="961"/>
      <c r="X51" s="961"/>
      <c r="Y51" s="961"/>
      <c r="Z51" s="961"/>
      <c r="AA51" s="961"/>
      <c r="AB51" s="961"/>
      <c r="AC51" s="961"/>
      <c r="AD51" s="961"/>
      <c r="AE51" s="961"/>
      <c r="AF51" s="961"/>
      <c r="AG51" s="961"/>
      <c r="AH51" s="961"/>
      <c r="AI51" s="961"/>
      <c r="AJ51" s="961"/>
      <c r="AK51" s="961"/>
      <c r="AL51" s="685"/>
      <c r="AM51" s="2559"/>
      <c r="AO51" s="1990"/>
      <c r="AP51" s="1990" t="str">
        <f>IF(T51="","",T51)</f>
        <v>Добавить вид теплоносителя (параметры теплоносителя)</v>
      </c>
      <c r="AQ51" s="1990"/>
      <c r="AR51" s="1990"/>
    </row>
    <row customHeight="1" ht="11.25">
      <c r="A52" s="1633" t="s">
        <v>216</v>
      </c>
      <c r="B52" s="1633" t="s">
        <v>217</v>
      </c>
      <c r="C52" s="1633" t="s">
        <v>218</v>
      </c>
      <c r="D52" s="1633" t="s">
        <v>219</v>
      </c>
      <c r="E52" s="2563"/>
      <c r="F52" s="2563"/>
      <c r="G52" s="2563"/>
      <c r="H52" s="2563"/>
      <c r="I52" s="2392"/>
      <c r="J52" s="1633"/>
      <c r="K52" s="1633"/>
      <c r="L52" s="1676"/>
      <c r="P52" s="2531"/>
      <c r="Q52" s="2321"/>
      <c r="R52" s="717"/>
      <c r="S52" s="1644"/>
      <c r="T52" s="648" t="s">
        <v>453</v>
      </c>
      <c r="U52" s="961"/>
      <c r="V52" s="961"/>
      <c r="W52" s="961"/>
      <c r="X52" s="961"/>
      <c r="Y52" s="961"/>
      <c r="Z52" s="961"/>
      <c r="AA52" s="961"/>
      <c r="AB52" s="961"/>
      <c r="AC52" s="727"/>
      <c r="AD52" s="961"/>
      <c r="AE52" s="961"/>
      <c r="AF52" s="961"/>
      <c r="AG52" s="961"/>
      <c r="AH52" s="961"/>
      <c r="AI52" s="961"/>
      <c r="AJ52" s="961"/>
      <c r="AK52" s="727"/>
      <c r="AL52" s="961"/>
      <c r="AM52" s="664"/>
      <c r="AO52" s="1990"/>
      <c r="AP52" s="1990" t="str">
        <f>IF(T52="","",T52)</f>
        <v>Добавить группу потребителей</v>
      </c>
      <c r="AQ52" s="1990"/>
      <c r="AR52" s="1990"/>
    </row>
    <row customHeight="1" ht="14.25">
      <c r="A53" s="1633" t="s">
        <v>216</v>
      </c>
      <c r="B53" s="1633" t="s">
        <v>217</v>
      </c>
      <c r="C53" s="1633" t="s">
        <v>218</v>
      </c>
      <c r="D53" s="1633" t="s">
        <v>219</v>
      </c>
      <c r="E53" s="2563"/>
      <c r="F53" s="2563"/>
      <c r="G53" s="2563"/>
      <c r="H53" s="2562"/>
      <c r="I53" s="1633"/>
      <c r="J53" s="1633"/>
      <c r="K53" s="1633"/>
      <c r="L53" s="1676"/>
      <c r="M53" s="1976"/>
      <c r="N53" s="1976"/>
      <c r="O53" s="2001"/>
      <c r="P53" s="721"/>
      <c r="Q53" s="736"/>
      <c r="R53" s="716"/>
      <c r="S53" s="1644"/>
      <c r="T53" s="726" t="s">
        <v>454</v>
      </c>
      <c r="U53" s="961"/>
      <c r="V53" s="961"/>
      <c r="W53" s="961"/>
      <c r="X53" s="961"/>
      <c r="Y53" s="961"/>
      <c r="Z53" s="961"/>
      <c r="AA53" s="961"/>
      <c r="AB53" s="961"/>
      <c r="AC53" s="727"/>
      <c r="AD53" s="961"/>
      <c r="AE53" s="961"/>
      <c r="AF53" s="961"/>
      <c r="AG53" s="961"/>
      <c r="AH53" s="961"/>
      <c r="AI53" s="961"/>
      <c r="AJ53" s="961"/>
      <c r="AK53" s="727"/>
      <c r="AL53" s="961"/>
      <c r="AM53" s="664"/>
      <c r="AO53" s="1990"/>
      <c r="AP53" s="1990" t="str">
        <f>IF(T53="","",T53)</f>
        <v>Добавить схему подключения</v>
      </c>
      <c r="AQ53" s="1990"/>
      <c r="AR53" s="1990"/>
    </row>
    <row s="32321" customFormat="1" customHeight="1" ht="0.75">
      <c r="A54" s="1741" t="s">
        <v>216</v>
      </c>
      <c r="B54" s="1741" t="s">
        <v>217</v>
      </c>
      <c r="C54" s="1741" t="s">
        <v>218</v>
      </c>
      <c r="D54" s="1740"/>
      <c r="E54" s="2563"/>
      <c r="F54" s="2563"/>
      <c r="G54" s="2562"/>
      <c r="H54" s="1740"/>
      <c r="I54" s="1740"/>
      <c r="J54" s="1740"/>
      <c r="K54" s="1740"/>
      <c r="L54" s="1743"/>
      <c r="M54" s="1744"/>
      <c r="N54" s="1744"/>
      <c r="O54" s="712"/>
      <c r="P54" s="1682"/>
      <c r="Q54" s="1683"/>
      <c r="R54" s="1682"/>
      <c r="S54" s="1688"/>
      <c r="T54" s="1691" t="s">
        <v>455</v>
      </c>
      <c r="U54" s="1690"/>
      <c r="V54" s="1690"/>
      <c r="W54" s="1690"/>
      <c r="X54" s="1690"/>
      <c r="Y54" s="1690"/>
      <c r="Z54" s="1690"/>
      <c r="AA54" s="1690"/>
      <c r="AB54" s="1690"/>
      <c r="AC54" s="1690"/>
      <c r="AD54" s="1690"/>
      <c r="AE54" s="1690"/>
      <c r="AF54" s="1690"/>
      <c r="AG54" s="1690"/>
      <c r="AH54" s="1690"/>
      <c r="AI54" s="1690"/>
      <c r="AJ54" s="1690"/>
      <c r="AK54" s="1690"/>
      <c r="AL54" s="1690"/>
      <c r="AM54" s="1690"/>
      <c r="AO54" s="1616"/>
      <c r="AP54" s="1616" t="str">
        <f>IF(T54="","",T54)</f>
        <v>Добавить источник для дифференциации</v>
      </c>
      <c r="AQ54" s="1616"/>
      <c r="AR54" s="1616"/>
    </row>
    <row s="32321" customFormat="1" customHeight="1" ht="0.75">
      <c r="A55" s="1741" t="s">
        <v>216</v>
      </c>
      <c r="B55" s="1741" t="s">
        <v>217</v>
      </c>
      <c r="C55" s="1740"/>
      <c r="D55" s="1740"/>
      <c r="E55" s="2563"/>
      <c r="F55" s="2562"/>
      <c r="G55" s="1740"/>
      <c r="H55" s="1740"/>
      <c r="I55" s="1740"/>
      <c r="J55" s="1740"/>
      <c r="K55" s="1740"/>
      <c r="L55" s="1743"/>
      <c r="M55" s="1745"/>
      <c r="N55" s="1745"/>
      <c r="O55" s="712"/>
      <c r="P55" s="1682"/>
      <c r="Q55" s="1683"/>
      <c r="R55" s="1682"/>
      <c r="S55" s="1688"/>
      <c r="T55" s="1691" t="s">
        <v>262</v>
      </c>
      <c r="U55" s="1690"/>
      <c r="V55" s="1690"/>
      <c r="W55" s="1690"/>
      <c r="X55" s="1690"/>
      <c r="Y55" s="1690"/>
      <c r="Z55" s="1690"/>
      <c r="AA55" s="1690"/>
      <c r="AB55" s="1690"/>
      <c r="AC55" s="1690"/>
      <c r="AD55" s="1690"/>
      <c r="AE55" s="1690"/>
      <c r="AF55" s="1690"/>
      <c r="AG55" s="1690"/>
      <c r="AH55" s="1690"/>
      <c r="AI55" s="1690"/>
      <c r="AJ55" s="1690"/>
      <c r="AK55" s="1690"/>
      <c r="AL55" s="1690"/>
      <c r="AM55" s="1690"/>
      <c r="AO55" s="1616"/>
      <c r="AP55" s="1616" t="str">
        <f>IF(T55="","",T55)</f>
        <v>Добавить централизованную систему для дифференциации</v>
      </c>
      <c r="AQ55" s="1616"/>
      <c r="AR55" s="1616"/>
    </row>
    <row s="32341" customFormat="1" customHeight="1" ht="0.75">
      <c r="A56" s="1741" t="s">
        <v>216</v>
      </c>
      <c r="B56" s="1741"/>
      <c r="C56" s="1741"/>
      <c r="D56" s="1741"/>
      <c r="E56" s="2562"/>
      <c r="F56" s="1741"/>
      <c r="G56" s="1741"/>
      <c r="H56" s="1741"/>
      <c r="I56" s="1741"/>
      <c r="J56" s="1741"/>
      <c r="K56" s="1741"/>
      <c r="L56" s="1747"/>
      <c r="M56" s="1745"/>
      <c r="N56" s="1745"/>
      <c r="O56" s="712"/>
      <c r="P56" s="741"/>
      <c r="Q56" s="1710"/>
      <c r="R56" s="741"/>
      <c r="S56" s="1688"/>
      <c r="T56" s="1691" t="s">
        <v>270</v>
      </c>
      <c r="U56" s="1690"/>
      <c r="V56" s="1690"/>
      <c r="W56" s="1690"/>
      <c r="X56" s="1690"/>
      <c r="Y56" s="1690"/>
      <c r="Z56" s="1690"/>
      <c r="AA56" s="1690"/>
      <c r="AB56" s="1690"/>
      <c r="AC56" s="1690"/>
      <c r="AD56" s="1690"/>
      <c r="AE56" s="1690"/>
      <c r="AF56" s="1690"/>
      <c r="AG56" s="1690"/>
      <c r="AH56" s="1690"/>
      <c r="AI56" s="1690"/>
      <c r="AJ56" s="1690"/>
      <c r="AK56" s="1690"/>
      <c r="AL56" s="1690"/>
      <c r="AM56" s="1690"/>
      <c r="AO56" s="1990"/>
      <c r="AP56" s="1990" t="str">
        <f>IF(T56="","",T56)</f>
        <v>Добавить территорию для дифференциации</v>
      </c>
      <c r="AQ56" s="1990"/>
      <c r="AR56" s="1990"/>
    </row>
    <row s="32321" customFormat="1" customHeight="1" ht="0.75">
      <c r="A57" s="1740"/>
      <c r="B57" s="1740"/>
      <c r="C57" s="1740"/>
      <c r="D57" s="1740"/>
      <c r="E57" s="1741"/>
      <c r="F57" s="1740"/>
      <c r="G57" s="1740"/>
      <c r="H57" s="1740"/>
      <c r="I57" s="1740"/>
      <c r="J57" s="1740"/>
      <c r="K57" s="1740"/>
      <c r="L57" s="1743"/>
      <c r="M57" s="1745"/>
      <c r="N57" s="1745"/>
      <c r="O57" s="712"/>
      <c r="P57" s="1682"/>
      <c r="Q57" s="1683"/>
      <c r="R57" s="1682"/>
      <c r="S57" s="1688"/>
      <c r="T57" s="1691" t="s">
        <v>294</v>
      </c>
      <c r="U57" s="1690"/>
      <c r="V57" s="1690"/>
      <c r="W57" s="1690"/>
      <c r="X57" s="1690"/>
      <c r="Y57" s="1690"/>
      <c r="Z57" s="1690"/>
      <c r="AA57" s="1690"/>
      <c r="AB57" s="1690"/>
      <c r="AC57" s="1690"/>
      <c r="AD57" s="1690"/>
      <c r="AE57" s="1690"/>
      <c r="AF57" s="1690"/>
      <c r="AG57" s="1690"/>
      <c r="AH57" s="1690"/>
      <c r="AI57" s="1690"/>
      <c r="AJ57" s="1690"/>
      <c r="AK57" s="1690"/>
      <c r="AL57" s="1690"/>
      <c r="AM57" s="1690"/>
      <c r="AO57" s="1616"/>
      <c r="AP57" s="1616" t="str">
        <f>IF(T57="","",T57)</f>
        <v>Добавить наименование тарифа</v>
      </c>
      <c r="AQ57" s="1616"/>
      <c r="AR57" s="1616"/>
    </row>
    <row customHeight="1" ht="11.25">
      <c r="M58" s="1997"/>
      <c r="N58" s="1997"/>
      <c r="O58" s="2001"/>
      <c r="P58" s="1997"/>
      <c r="Q58" s="1997"/>
      <c r="R58" s="1997"/>
      <c r="S58" s="1997"/>
      <c r="AN58" s="1997"/>
      <c r="AO58" s="1997"/>
      <c r="AP58" s="1997"/>
      <c r="AQ58" s="1997"/>
      <c r="AR58" s="1997"/>
    </row>
    <row customHeight="1" ht="27">
      <c r="O59" s="2001"/>
      <c r="S59" s="1618"/>
      <c r="T59" s="2526"/>
      <c r="U59" s="2526"/>
      <c r="V59" s="2526"/>
      <c r="W59" s="2526"/>
      <c r="X59" s="2526"/>
      <c r="Y59" s="2526"/>
      <c r="Z59" s="2526"/>
      <c r="AA59" s="2526"/>
      <c r="AB59" s="2526"/>
      <c r="AC59" s="2526"/>
      <c r="AD59" s="2526"/>
      <c r="AE59" s="2526"/>
      <c r="AF59" s="2526"/>
      <c r="AG59" s="2526"/>
      <c r="AH59" s="2526"/>
      <c r="AI59" s="2526"/>
      <c r="AJ59" s="2526"/>
      <c r="AK59" s="2526"/>
      <c r="AL59" s="2526"/>
      <c r="AM59" s="2526"/>
    </row>
    <row customHeight="1" ht="62.25">
      <c r="O60" s="2001"/>
      <c r="T60" s="2526"/>
      <c r="U60" s="2526"/>
      <c r="V60" s="2526"/>
      <c r="W60" s="2526"/>
      <c r="X60" s="2526"/>
      <c r="Y60" s="2526"/>
      <c r="Z60" s="2526"/>
      <c r="AA60" s="2526"/>
      <c r="AB60" s="2526"/>
      <c r="AC60" s="2526"/>
      <c r="AD60" s="2526"/>
      <c r="AE60" s="2526"/>
      <c r="AF60" s="2526"/>
      <c r="AG60" s="2526"/>
      <c r="AH60" s="2526"/>
      <c r="AI60" s="2526"/>
      <c r="AJ60" s="2526"/>
      <c r="AK60" s="2526"/>
      <c r="AL60" s="2526"/>
      <c r="AM60" s="2526"/>
    </row>
    <row customHeight="1" ht="14.25">
      <c r="O61" s="2001"/>
    </row>
    <row customHeight="1" ht="18">
      <c r="O62" s="2001"/>
      <c r="S62" s="1618"/>
      <c r="T62" s="2526"/>
      <c r="U62" s="2526"/>
      <c r="V62" s="2526"/>
      <c r="W62" s="2526"/>
      <c r="X62" s="2526"/>
      <c r="Y62" s="2526"/>
      <c r="Z62" s="2526"/>
      <c r="AA62" s="2526"/>
      <c r="AB62" s="2526"/>
      <c r="AC62" s="2526"/>
      <c r="AD62" s="2526"/>
      <c r="AE62" s="2526"/>
      <c r="AF62" s="2526"/>
      <c r="AG62" s="2526"/>
      <c r="AH62" s="2526"/>
      <c r="AI62" s="2526"/>
      <c r="AJ62" s="2526"/>
      <c r="AK62" s="2526"/>
      <c r="AL62" s="2526"/>
      <c r="AM62" s="2526"/>
    </row>
    <row customHeight="1" ht="18">
      <c r="O63" s="2001"/>
      <c r="T63" s="2526"/>
      <c r="U63" s="2526"/>
      <c r="V63" s="2526"/>
      <c r="W63" s="2526"/>
      <c r="X63" s="2526"/>
      <c r="Y63" s="2526"/>
      <c r="Z63" s="2526"/>
      <c r="AA63" s="2526"/>
      <c r="AB63" s="2526"/>
      <c r="AC63" s="2526"/>
      <c r="AD63" s="2526"/>
      <c r="AE63" s="2526"/>
      <c r="AF63" s="2526"/>
      <c r="AG63" s="2526"/>
      <c r="AH63" s="2526"/>
      <c r="AI63" s="2526"/>
      <c r="AJ63" s="2526"/>
      <c r="AK63" s="2526"/>
      <c r="AL63" s="2526"/>
      <c r="AM63" s="2526"/>
    </row>
    <row customHeight="1" ht="27.75">
      <c r="O64" s="2001"/>
      <c r="S64" s="1618"/>
      <c r="T64" s="2526"/>
      <c r="U64" s="2526"/>
      <c r="V64" s="2526"/>
      <c r="W64" s="2526"/>
      <c r="X64" s="2526"/>
      <c r="Y64" s="2526"/>
      <c r="Z64" s="2526"/>
      <c r="AA64" s="2526"/>
      <c r="AB64" s="2526"/>
      <c r="AC64" s="2526"/>
      <c r="AD64" s="2526"/>
      <c r="AE64" s="2526"/>
      <c r="AF64" s="2526"/>
      <c r="AG64" s="2526"/>
      <c r="AH64" s="2526"/>
      <c r="AI64" s="2526"/>
      <c r="AJ64" s="2526"/>
      <c r="AK64" s="2526"/>
      <c r="AL64" s="2526"/>
      <c r="AM64" s="2526"/>
    </row>
  </sheetData>
  <sheetProtection sort="0" autoFilter="0" insertRows="0" insertColumns="1" deleteRows="0" deleteColumns="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E5654-15BD-4762-443E-623B8DB76801}" mc:Ignorable="x14ac xr xr2 xr3">
  <sheetPr>
    <tabColor theme="6" tint="0.4"/>
  </sheetPr>
  <dimension ref="A1:AR64"/>
  <sheetViews>
    <sheetView topLeftCell="A1" showGridLines="0" workbookViewId="0">
      <selection activeCell="A1" sqref="A1"/>
    </sheetView>
  </sheetViews>
  <sheetFormatPr defaultColWidth="10.57421875" customHeight="1" defaultRowHeight="14.25"/>
  <cols>
    <col min="1" max="1" style="32343" width="10.57421875" hidden="1"/>
    <col min="2" max="2" style="32343" width="11.00390625" hidden="1" customWidth="1"/>
    <col min="3" max="3" style="32343" width="10.57421875" hidden="1"/>
    <col min="4" max="4" style="32343" width="11.8515625" hidden="1" customWidth="1"/>
    <col min="5" max="5" style="32343" width="10.00390625" hidden="1" customWidth="1"/>
    <col min="6" max="6" style="32343" width="8.7109375" hidden="1" customWidth="1"/>
    <col min="7" max="7" style="32343" width="7.57421875" hidden="1" customWidth="1"/>
    <col min="8" max="8" style="32343" width="11.421875" hidden="1" customWidth="1"/>
    <col min="9" max="9" style="32343" width="12.00390625" hidden="1" customWidth="1"/>
    <col min="10" max="10" style="32343" width="9.8515625" hidden="1" customWidth="1"/>
    <col min="11" max="11" style="32343" width="11.421875" hidden="1" customWidth="1"/>
    <col min="12" max="12" style="32344" width="19.140625" hidden="1" customWidth="1"/>
    <col min="13" max="14" style="32345" width="12.28125" hidden="1" customWidth="1"/>
    <col min="15" max="15" style="32345" width="23.421875" hidden="1" customWidth="1"/>
    <col min="16" max="16" style="32345" width="3.7109375" customWidth="1"/>
    <col min="17" max="18" style="32300" width="3.7109375" customWidth="1"/>
    <col min="19" max="19" style="32301" width="12.7109375" customWidth="1"/>
    <col min="20" max="20" style="32343" width="32.00390625" customWidth="1"/>
    <col min="21" max="21" style="32343" width="0.140625" customWidth="1"/>
    <col min="22" max="22" style="32343" width="24.7109375" hidden="1" customWidth="1"/>
    <col min="23" max="23" style="32343" width="0.140625" hidden="1" customWidth="1"/>
    <col min="24" max="25" style="32343" width="24.7109375" hidden="1" customWidth="1"/>
    <col min="26" max="26" style="32343" width="11.7109375" hidden="1" customWidth="1"/>
    <col min="27" max="27" style="32343" width="3.7109375" hidden="1" customWidth="1"/>
    <col min="28" max="28" style="32343" width="11.7109375" hidden="1" customWidth="1"/>
    <col min="29" max="29" style="32343" width="8.57421875" hidden="1" customWidth="1"/>
    <col min="30" max="30" style="32343" width="24.7109375" customWidth="1"/>
    <col min="31" max="31" style="32343" width="0.140625" customWidth="1"/>
    <col min="32" max="33" style="32343" width="24.7109375" customWidth="1"/>
    <col min="34" max="34" style="32343" width="11.7109375" customWidth="1"/>
    <col min="35" max="35" style="32343" width="3.7109375" customWidth="1"/>
    <col min="36" max="36" style="32343" width="11.7109375" customWidth="1"/>
    <col min="37" max="37" style="32343" width="8.57421875" hidden="1" customWidth="1"/>
    <col min="38" max="38" style="32343" width="4.7109375" customWidth="1"/>
    <col min="39" max="39" style="32343" width="115.7109375" customWidth="1"/>
    <col min="40" max="41" style="32341" width="10.57421875"/>
    <col min="42" max="42" style="32341" width="11.140625" customWidth="1"/>
    <col min="43" max="44" style="32341" width="10.57421875"/>
  </cols>
  <sheetData>
    <row customHeight="1" ht="14.25" hidden="1"/>
    <row customHeight="1" ht="21" hidden="1">
      <c r="A2" s="1633"/>
      <c r="B2" s="1633"/>
      <c r="C2" s="1633"/>
      <c r="D2" s="1633"/>
      <c r="E2" s="2562">
        <v>1</v>
      </c>
      <c r="F2" s="1633"/>
      <c r="G2" s="1633"/>
      <c r="H2" s="1633"/>
      <c r="I2" s="1633"/>
      <c r="J2" s="1633"/>
      <c r="K2" s="1633"/>
      <c r="L2" s="1676"/>
      <c r="M2" s="1976"/>
      <c r="N2" s="1976"/>
      <c r="O2" s="1976"/>
      <c r="P2" s="1956"/>
      <c r="Q2" s="721"/>
      <c r="R2" s="716"/>
      <c r="S2" s="2325">
        <f>INDEX(PT_DIFFERENTIATION_NUM_NTAR,MATCH(A2,PT_DIFFERENTIATION_NTAR_ID,0))</f>
      </c>
      <c r="T2" s="1891" t="s">
        <v>131</v>
      </c>
      <c r="U2" s="661"/>
      <c r="V2" s="2521"/>
      <c r="W2" s="2522"/>
      <c r="X2" s="2522"/>
      <c r="Y2" s="2522"/>
      <c r="Z2" s="2522"/>
      <c r="AA2" s="2522"/>
      <c r="AB2" s="2522"/>
      <c r="AC2" s="2523"/>
      <c r="AD2" s="2521">
        <f>INDEX(PT_DIFFERENTIATION_NTAR,MATCH(A2,PT_DIFFERENTIATION_NTAR_ID,0))</f>
      </c>
      <c r="AE2" s="2522"/>
      <c r="AF2" s="2522"/>
      <c r="AG2" s="2522"/>
      <c r="AH2" s="2522"/>
      <c r="AI2" s="2522"/>
      <c r="AJ2" s="2522"/>
      <c r="AK2" s="2522"/>
      <c r="AL2" s="2523"/>
      <c r="AM2" s="1623" t="s">
        <v>437</v>
      </c>
      <c r="AO2" s="1990"/>
      <c r="AP2" s="1990" t="str">
        <f>IF(T2="","",T2)</f>
        <v>Наименование тарифа</v>
      </c>
      <c r="AQ2" s="1990"/>
      <c r="AR2" s="1990"/>
    </row>
    <row customHeight="1" ht="21" hidden="1">
      <c r="A3" s="1633"/>
      <c r="B3" s="1633"/>
      <c r="C3" s="1633"/>
      <c r="D3" s="1633"/>
      <c r="E3" s="2563"/>
      <c r="F3" s="2562">
        <v>1</v>
      </c>
      <c r="G3" s="1633"/>
      <c r="H3" s="1633"/>
      <c r="I3" s="1633"/>
      <c r="J3" s="1633"/>
      <c r="K3" s="1633"/>
      <c r="L3" s="1676"/>
      <c r="M3" s="1976"/>
      <c r="N3" s="1976"/>
      <c r="O3" s="1976"/>
      <c r="P3" s="2307"/>
      <c r="Q3" s="713"/>
      <c r="R3" s="714"/>
      <c r="S3" s="2325">
        <f>INDEX(PT_DIFFERENTIATION_NUM_TER,MATCH(B3,PT_DIFFERENTIATION_TER_ID,0))</f>
      </c>
      <c r="T3" s="1888" t="s">
        <v>438</v>
      </c>
      <c r="U3" s="661"/>
      <c r="V3" s="2521"/>
      <c r="W3" s="2522"/>
      <c r="X3" s="2522"/>
      <c r="Y3" s="2522"/>
      <c r="Z3" s="2522"/>
      <c r="AA3" s="2522"/>
      <c r="AB3" s="2522"/>
      <c r="AC3" s="2523"/>
      <c r="AD3" s="2521">
        <f>INDEX(PT_DIFFERENTIATION_TER,MATCH(B3,PT_DIFFERENTIATION_TER_ID,0))</f>
      </c>
      <c r="AE3" s="2522"/>
      <c r="AF3" s="2522"/>
      <c r="AG3" s="2522"/>
      <c r="AH3" s="2522"/>
      <c r="AI3" s="2522"/>
      <c r="AJ3" s="2522"/>
      <c r="AK3" s="2522"/>
      <c r="AL3" s="2523"/>
      <c r="AM3" s="1623" t="s">
        <v>439</v>
      </c>
      <c r="AO3" s="1990"/>
      <c r="AP3" s="1990" t="str">
        <f>IF(T3="","",T3)</f>
        <v>Территория действия тарифа</v>
      </c>
      <c r="AQ3" s="1990"/>
      <c r="AR3" s="1990"/>
    </row>
    <row customHeight="1" ht="23.25" hidden="1">
      <c r="A4" s="1633"/>
      <c r="B4" s="1633"/>
      <c r="C4" s="1633"/>
      <c r="D4" s="1633"/>
      <c r="E4" s="2563"/>
      <c r="F4" s="2563"/>
      <c r="G4" s="2562">
        <v>1</v>
      </c>
      <c r="H4" s="1633"/>
      <c r="I4" s="1633"/>
      <c r="J4" s="1633"/>
      <c r="K4" s="1633"/>
      <c r="L4" s="1676"/>
      <c r="M4" s="1976"/>
      <c r="N4" s="1976"/>
      <c r="O4" s="1976"/>
      <c r="P4" s="715"/>
      <c r="Q4" s="713"/>
      <c r="R4" s="714"/>
      <c r="S4" s="2325">
        <f>INDEX(PT_DIFFERENTIATION_NUM_CS,MATCH(C4,PT_DIFFERENTIATION_CS_ID,0))</f>
      </c>
      <c r="T4" s="670" t="s">
        <v>440</v>
      </c>
      <c r="U4" s="661"/>
      <c r="V4" s="2521"/>
      <c r="W4" s="2522"/>
      <c r="X4" s="2522"/>
      <c r="Y4" s="2522"/>
      <c r="Z4" s="2522"/>
      <c r="AA4" s="2522"/>
      <c r="AB4" s="2522"/>
      <c r="AC4" s="2523"/>
      <c r="AD4" s="2521">
        <f>INDEX(PT_DIFFERENTIATION_CS,MATCH(C4,PT_DIFFERENTIATION_CS_ID,0))</f>
      </c>
      <c r="AE4" s="2522"/>
      <c r="AF4" s="2522"/>
      <c r="AG4" s="2522"/>
      <c r="AH4" s="2522"/>
      <c r="AI4" s="2522"/>
      <c r="AJ4" s="2522"/>
      <c r="AK4" s="2522"/>
      <c r="AL4" s="2523"/>
      <c r="AM4" s="1623" t="s">
        <v>441</v>
      </c>
      <c r="AO4" s="1990"/>
      <c r="AP4" s="1990" t="str">
        <f>IF(T4="","",T4)</f>
        <v>Наименование системы теплоснабжения </v>
      </c>
      <c r="AQ4" s="1990"/>
      <c r="AR4" s="1990"/>
    </row>
    <row customHeight="1" ht="21" hidden="1">
      <c r="A5" s="1633"/>
      <c r="B5" s="1633"/>
      <c r="C5" s="1633"/>
      <c r="D5" s="1633"/>
      <c r="E5" s="2563"/>
      <c r="F5" s="2563"/>
      <c r="G5" s="2563"/>
      <c r="H5" s="2562">
        <v>1</v>
      </c>
      <c r="I5" s="1633"/>
      <c r="J5" s="1633"/>
      <c r="K5" s="1633"/>
      <c r="L5" s="1676"/>
      <c r="M5" s="1976"/>
      <c r="N5" s="1976"/>
      <c r="O5" s="1976"/>
      <c r="P5" s="715"/>
      <c r="Q5" s="713"/>
      <c r="R5" s="714"/>
      <c r="S5" s="2325">
        <f>INDEX(PT_DIFFERENTIATION_NUM_IST_TE,MATCH(D5,PT_DIFFERENTIATION_IST_TE_ID,0))</f>
      </c>
      <c r="T5" s="671" t="s">
        <v>442</v>
      </c>
      <c r="U5" s="661"/>
      <c r="V5" s="2521"/>
      <c r="W5" s="2522"/>
      <c r="X5" s="2522"/>
      <c r="Y5" s="2522"/>
      <c r="Z5" s="2522"/>
      <c r="AA5" s="2522"/>
      <c r="AB5" s="2522"/>
      <c r="AC5" s="2523"/>
      <c r="AD5" s="2521">
        <f>INDEX(PT_DIFFERENTIATION_IST_TE,MATCH(D5,PT_DIFFERENTIATION_IST_TE_ID,0))</f>
      </c>
      <c r="AE5" s="2522"/>
      <c r="AF5" s="2522"/>
      <c r="AG5" s="2522"/>
      <c r="AH5" s="2522"/>
      <c r="AI5" s="2522"/>
      <c r="AJ5" s="2522"/>
      <c r="AK5" s="2522"/>
      <c r="AL5" s="2523"/>
      <c r="AM5" s="1623" t="s">
        <v>443</v>
      </c>
      <c r="AO5" s="1990"/>
      <c r="AP5" s="1990" t="str">
        <f>IF(T5="","",T5)</f>
        <v>Источник тепловой энергии  </v>
      </c>
      <c r="AQ5" s="1990"/>
      <c r="AR5" s="1990"/>
    </row>
    <row customHeight="1" ht="47.25" hidden="1">
      <c r="A6" s="1633"/>
      <c r="B6" s="1633"/>
      <c r="C6" s="1633"/>
      <c r="D6" s="1633"/>
      <c r="E6" s="2563"/>
      <c r="F6" s="2563"/>
      <c r="G6" s="2563"/>
      <c r="H6" s="2563"/>
      <c r="I6" s="2392">
        <f>S5&amp;".1"</f>
      </c>
      <c r="J6" s="1633"/>
      <c r="K6" s="1633"/>
      <c r="L6" s="1676" t="s">
        <v>444</v>
      </c>
      <c r="M6" s="2001"/>
      <c r="P6" s="2531">
        <v>1</v>
      </c>
      <c r="Q6" s="2321"/>
      <c r="R6" s="717"/>
      <c r="S6" s="2325">
        <f>$I6</f>
      </c>
      <c r="T6" s="646" t="s">
        <v>445</v>
      </c>
      <c r="U6" s="661"/>
      <c r="V6" s="2515"/>
      <c r="W6" s="2516"/>
      <c r="X6" s="2516"/>
      <c r="Y6" s="2516"/>
      <c r="Z6" s="2516"/>
      <c r="AA6" s="2516"/>
      <c r="AB6" s="2516"/>
      <c r="AC6" s="2517"/>
      <c r="AD6" s="2515"/>
      <c r="AE6" s="2516"/>
      <c r="AF6" s="2516"/>
      <c r="AG6" s="2516"/>
      <c r="AH6" s="2516"/>
      <c r="AI6" s="2516"/>
      <c r="AJ6" s="2516"/>
      <c r="AK6" s="2516"/>
      <c r="AL6" s="2517"/>
      <c r="AM6" s="1623" t="s">
        <v>446</v>
      </c>
      <c r="AO6" s="1990"/>
      <c r="AP6" s="1990" t="str">
        <f>IF(T6="","",T6)</f>
        <v>Схема подключения теплопотребляющей установки к коллектору источника тепловой энергии</v>
      </c>
      <c r="AQ6" s="1990"/>
      <c r="AR6" s="1990"/>
    </row>
    <row customHeight="1" ht="21" hidden="1">
      <c r="A7" s="1633"/>
      <c r="B7" s="1633"/>
      <c r="C7" s="1633"/>
      <c r="D7" s="1633"/>
      <c r="E7" s="2563"/>
      <c r="F7" s="2563"/>
      <c r="G7" s="2563"/>
      <c r="H7" s="2563"/>
      <c r="I7" s="2376"/>
      <c r="J7" s="2392">
        <f>I6&amp;".1"</f>
      </c>
      <c r="K7" s="1633"/>
      <c r="L7" s="1676" t="s">
        <v>447</v>
      </c>
      <c r="M7" s="2001"/>
      <c r="N7" s="1997"/>
      <c r="P7" s="2531"/>
      <c r="Q7" s="2531">
        <v>1</v>
      </c>
      <c r="R7" s="718"/>
      <c r="S7" s="2325">
        <f>$J7</f>
      </c>
      <c r="T7" s="647" t="s">
        <v>448</v>
      </c>
      <c r="U7" s="661"/>
      <c r="V7" s="2515"/>
      <c r="W7" s="2516"/>
      <c r="X7" s="2516"/>
      <c r="Y7" s="2516"/>
      <c r="Z7" s="2516"/>
      <c r="AA7" s="2516"/>
      <c r="AB7" s="2516"/>
      <c r="AC7" s="2517"/>
      <c r="AD7" s="2515"/>
      <c r="AE7" s="2516"/>
      <c r="AF7" s="2516"/>
      <c r="AG7" s="2516"/>
      <c r="AH7" s="2516"/>
      <c r="AI7" s="2516"/>
      <c r="AJ7" s="2516"/>
      <c r="AK7" s="2516"/>
      <c r="AL7" s="2517"/>
      <c r="AM7" s="1623" t="s">
        <v>449</v>
      </c>
      <c r="AO7" s="1990"/>
      <c r="AP7" s="1990" t="str">
        <f>IF(T7="","",T7)</f>
        <v>Группа потребителей</v>
      </c>
      <c r="AQ7" s="1990"/>
      <c r="AR7" s="1990"/>
    </row>
    <row customHeight="1" ht="21" hidden="1">
      <c r="A8" s="1633"/>
      <c r="B8" s="1633"/>
      <c r="C8" s="1633"/>
      <c r="D8" s="1633"/>
      <c r="E8" s="2563"/>
      <c r="F8" s="2563"/>
      <c r="G8" s="2563"/>
      <c r="H8" s="2563"/>
      <c r="I8" s="2376"/>
      <c r="J8" s="2376"/>
      <c r="K8" s="2392">
        <f>J7&amp;".1"</f>
      </c>
      <c r="L8" s="1676" t="s">
        <v>450</v>
      </c>
      <c r="M8" s="2001"/>
      <c r="N8" s="1997"/>
      <c r="O8" s="1997"/>
      <c r="P8" s="2531"/>
      <c r="Q8" s="2531"/>
      <c r="R8" s="718">
        <v>1</v>
      </c>
      <c r="S8" s="2325">
        <f>$K8</f>
      </c>
      <c r="T8" s="1713"/>
      <c r="U8" s="661"/>
      <c r="V8" s="1112"/>
      <c r="W8" s="686"/>
      <c r="X8" s="1112"/>
      <c r="Y8" s="1622"/>
      <c r="Z8" s="2532"/>
      <c r="AA8" s="2402" t="s">
        <v>66</v>
      </c>
      <c r="AB8" s="2532"/>
      <c r="AC8" s="2402" t="s">
        <v>66</v>
      </c>
      <c r="AD8" s="1112"/>
      <c r="AE8" s="686"/>
      <c r="AF8" s="1112"/>
      <c r="AG8" s="1622"/>
      <c r="AH8" s="2532"/>
      <c r="AI8" s="2402" t="s">
        <v>66</v>
      </c>
      <c r="AJ8" s="2532"/>
      <c r="AK8" s="2402" t="s">
        <v>66</v>
      </c>
      <c r="AL8" s="686"/>
      <c r="AM8" s="2557" t="s">
        <v>451</v>
      </c>
      <c r="AN8" s="2002">
        <f>STRCHECKDATE(V9:AL9)</f>
      </c>
      <c r="AO8" s="1990"/>
      <c r="AP8" s="1990" t="str">
        <f>IF(T8="","",T8)</f>
        <v/>
      </c>
      <c r="AQ8" s="1990"/>
      <c r="AR8" s="1990"/>
    </row>
    <row customHeight="1" ht="0.75" hidden="1">
      <c r="A9" s="1633"/>
      <c r="B9" s="1633"/>
      <c r="C9" s="1633"/>
      <c r="D9" s="1633"/>
      <c r="E9" s="2563"/>
      <c r="F9" s="2563"/>
      <c r="G9" s="2563"/>
      <c r="H9" s="2563"/>
      <c r="I9" s="2376"/>
      <c r="J9" s="2376"/>
      <c r="K9" s="2392"/>
      <c r="L9" s="1676"/>
      <c r="M9" s="2001"/>
      <c r="N9" s="1997"/>
      <c r="O9" s="1997"/>
      <c r="P9" s="2531"/>
      <c r="Q9" s="2531"/>
      <c r="R9" s="718"/>
      <c r="S9" s="2334"/>
      <c r="T9" s="661"/>
      <c r="U9" s="661"/>
      <c r="V9" s="686"/>
      <c r="W9" s="686"/>
      <c r="X9" s="686"/>
      <c r="Y9" s="689" t="str">
        <f>Z8&amp;"-"&amp;AB8</f>
        <v>-</v>
      </c>
      <c r="Z9" s="2533"/>
      <c r="AA9" s="2402"/>
      <c r="AB9" s="2533"/>
      <c r="AC9" s="2402"/>
      <c r="AD9" s="686"/>
      <c r="AE9" s="686"/>
      <c r="AF9" s="686"/>
      <c r="AG9" s="689" t="str">
        <f>AH8&amp;"-"&amp;AJ8</f>
        <v>-</v>
      </c>
      <c r="AH9" s="2533"/>
      <c r="AI9" s="2402"/>
      <c r="AJ9" s="2533"/>
      <c r="AK9" s="2402"/>
      <c r="AL9" s="686"/>
      <c r="AM9" s="2558"/>
      <c r="AO9" s="1990"/>
      <c r="AP9" s="1990" t="str">
        <f>IF(T9="","",T9)</f>
        <v/>
      </c>
      <c r="AQ9" s="1990"/>
      <c r="AR9" s="1990"/>
    </row>
    <row customHeight="1" ht="15" hidden="1">
      <c r="A10" s="1633"/>
      <c r="B10" s="1633"/>
      <c r="C10" s="1633"/>
      <c r="D10" s="1633"/>
      <c r="E10" s="2563"/>
      <c r="F10" s="2563"/>
      <c r="G10" s="2563"/>
      <c r="H10" s="2563"/>
      <c r="I10" s="2376"/>
      <c r="J10" s="2392"/>
      <c r="K10" s="1633"/>
      <c r="L10" s="1676"/>
      <c r="M10" s="2001"/>
      <c r="N10" s="1997"/>
      <c r="P10" s="2531"/>
      <c r="Q10" s="2531"/>
      <c r="R10" s="717"/>
      <c r="S10" s="1644"/>
      <c r="T10" s="649" t="s">
        <v>452</v>
      </c>
      <c r="U10" s="961"/>
      <c r="V10" s="961"/>
      <c r="W10" s="961"/>
      <c r="X10" s="961"/>
      <c r="Y10" s="961"/>
      <c r="Z10" s="961"/>
      <c r="AA10" s="961"/>
      <c r="AB10" s="961"/>
      <c r="AC10" s="961"/>
      <c r="AD10" s="961"/>
      <c r="AE10" s="961"/>
      <c r="AF10" s="961"/>
      <c r="AG10" s="961"/>
      <c r="AH10" s="961"/>
      <c r="AI10" s="961"/>
      <c r="AJ10" s="961"/>
      <c r="AK10" s="961"/>
      <c r="AL10" s="685"/>
      <c r="AM10" s="2559"/>
      <c r="AO10" s="1990"/>
      <c r="AP10" s="1990" t="str">
        <f>IF(T10="","",T10)</f>
        <v>Добавить вид теплоносителя (параметры теплоносителя)</v>
      </c>
      <c r="AQ10" s="1990"/>
      <c r="AR10" s="1990"/>
    </row>
    <row customHeight="1" ht="15" hidden="1">
      <c r="A11" s="1633"/>
      <c r="B11" s="1633"/>
      <c r="C11" s="1633"/>
      <c r="D11" s="1633"/>
      <c r="E11" s="2563"/>
      <c r="F11" s="2563"/>
      <c r="G11" s="2563"/>
      <c r="H11" s="2563"/>
      <c r="I11" s="2392"/>
      <c r="J11" s="1633"/>
      <c r="K11" s="1633"/>
      <c r="L11" s="1676"/>
      <c r="M11" s="2001"/>
      <c r="P11" s="2531"/>
      <c r="Q11" s="2321"/>
      <c r="R11" s="717"/>
      <c r="S11" s="1644"/>
      <c r="T11" s="648" t="s">
        <v>453</v>
      </c>
      <c r="U11" s="961"/>
      <c r="V11" s="961"/>
      <c r="W11" s="961"/>
      <c r="X11" s="961"/>
      <c r="Y11" s="961"/>
      <c r="Z11" s="961"/>
      <c r="AA11" s="961"/>
      <c r="AB11" s="961"/>
      <c r="AC11" s="727"/>
      <c r="AD11" s="961"/>
      <c r="AE11" s="961"/>
      <c r="AF11" s="961"/>
      <c r="AG11" s="961"/>
      <c r="AH11" s="961"/>
      <c r="AI11" s="961"/>
      <c r="AJ11" s="961"/>
      <c r="AK11" s="727"/>
      <c r="AL11" s="961"/>
      <c r="AM11" s="664"/>
      <c r="AO11" s="1990"/>
      <c r="AP11" s="1990" t="str">
        <f>IF(T11="","",T11)</f>
        <v>Добавить группу потребителей</v>
      </c>
      <c r="AQ11" s="1990"/>
      <c r="AR11" s="1990"/>
    </row>
    <row customHeight="1" ht="14.25" hidden="1">
      <c r="A12" s="1633"/>
      <c r="B12" s="1633"/>
      <c r="C12" s="1633"/>
      <c r="D12" s="1633"/>
      <c r="E12" s="2563"/>
      <c r="F12" s="2563"/>
      <c r="G12" s="2563"/>
      <c r="H12" s="2562"/>
      <c r="I12" s="1633"/>
      <c r="J12" s="1633"/>
      <c r="K12" s="1633"/>
      <c r="L12" s="1676"/>
      <c r="M12" s="1976"/>
      <c r="N12" s="1976"/>
      <c r="O12" s="2001"/>
      <c r="P12" s="721"/>
      <c r="Q12" s="736"/>
      <c r="R12" s="716"/>
      <c r="S12" s="1644"/>
      <c r="T12" s="726" t="s">
        <v>454</v>
      </c>
      <c r="U12" s="961"/>
      <c r="V12" s="961"/>
      <c r="W12" s="961"/>
      <c r="X12" s="961"/>
      <c r="Y12" s="961"/>
      <c r="Z12" s="961"/>
      <c r="AA12" s="961"/>
      <c r="AB12" s="961"/>
      <c r="AC12" s="727"/>
      <c r="AD12" s="961"/>
      <c r="AE12" s="961"/>
      <c r="AF12" s="961"/>
      <c r="AG12" s="961"/>
      <c r="AH12" s="961"/>
      <c r="AI12" s="961"/>
      <c r="AJ12" s="961"/>
      <c r="AK12" s="727"/>
      <c r="AL12" s="961"/>
      <c r="AM12" s="664"/>
      <c r="AO12" s="1990"/>
      <c r="AP12" s="1990" t="str">
        <f>IF(T12="","",T12)</f>
        <v>Добавить схему подключения</v>
      </c>
      <c r="AQ12" s="1990"/>
      <c r="AR12" s="1990"/>
    </row>
    <row s="32321" customFormat="1" customHeight="1" ht="0.75" hidden="1">
      <c r="A13" s="2342"/>
      <c r="B13" s="2342"/>
      <c r="C13" s="2342"/>
      <c r="D13" s="2342"/>
      <c r="E13" s="2563"/>
      <c r="F13" s="2563"/>
      <c r="G13" s="2562"/>
      <c r="H13" s="2342"/>
      <c r="I13" s="2342"/>
      <c r="J13" s="2342"/>
      <c r="K13" s="2342"/>
      <c r="L13" s="1746"/>
      <c r="M13" s="1976"/>
      <c r="N13" s="1976"/>
      <c r="O13" s="2001"/>
      <c r="P13" s="1682"/>
      <c r="Q13" s="1683"/>
      <c r="R13" s="1682"/>
      <c r="S13" s="1684"/>
      <c r="T13" s="1685" t="s">
        <v>455</v>
      </c>
      <c r="U13" s="1686"/>
      <c r="V13" s="1686"/>
      <c r="W13" s="1686"/>
      <c r="X13" s="1686"/>
      <c r="Y13" s="1686"/>
      <c r="Z13" s="1686"/>
      <c r="AA13" s="1686"/>
      <c r="AB13" s="1686"/>
      <c r="AC13" s="1686"/>
      <c r="AD13" s="1686"/>
      <c r="AE13" s="1686"/>
      <c r="AF13" s="1686"/>
      <c r="AG13" s="1686"/>
      <c r="AH13" s="1686"/>
      <c r="AI13" s="1686"/>
      <c r="AJ13" s="1686"/>
      <c r="AK13" s="1686"/>
      <c r="AL13" s="1686"/>
      <c r="AM13" s="1686"/>
      <c r="AO13" s="1616"/>
      <c r="AP13" s="1616" t="str">
        <f>IF(T13="","",T13)</f>
        <v>Добавить источник для дифференциации</v>
      </c>
      <c r="AQ13" s="1616"/>
      <c r="AR13" s="1616"/>
    </row>
    <row s="32321" customFormat="1" customHeight="1" ht="0.75" hidden="1">
      <c r="A14" s="2342"/>
      <c r="B14" s="2342"/>
      <c r="C14" s="2342"/>
      <c r="D14" s="2342"/>
      <c r="E14" s="2563"/>
      <c r="F14" s="2562"/>
      <c r="G14" s="2342"/>
      <c r="H14" s="2342"/>
      <c r="I14" s="2342"/>
      <c r="J14" s="2342"/>
      <c r="K14" s="2342"/>
      <c r="L14" s="1746"/>
      <c r="M14" s="2343"/>
      <c r="N14" s="2343"/>
      <c r="O14" s="2001"/>
      <c r="P14" s="1682"/>
      <c r="Q14" s="1683"/>
      <c r="R14" s="1682"/>
      <c r="S14" s="1688"/>
      <c r="T14" s="1689" t="s">
        <v>262</v>
      </c>
      <c r="U14" s="1690"/>
      <c r="V14" s="1690"/>
      <c r="W14" s="1690"/>
      <c r="X14" s="1690"/>
      <c r="Y14" s="1690"/>
      <c r="Z14" s="1690"/>
      <c r="AA14" s="1690"/>
      <c r="AB14" s="1690"/>
      <c r="AC14" s="1690"/>
      <c r="AD14" s="1690"/>
      <c r="AE14" s="1690"/>
      <c r="AF14" s="1690"/>
      <c r="AG14" s="1690"/>
      <c r="AH14" s="1690"/>
      <c r="AI14" s="1690"/>
      <c r="AJ14" s="1690"/>
      <c r="AK14" s="1690"/>
      <c r="AL14" s="1690"/>
      <c r="AM14" s="1690"/>
      <c r="AO14" s="1616"/>
      <c r="AP14" s="1616" t="str">
        <f>IF(T14="","",T14)</f>
        <v>Добавить централизованную систему для дифференциации</v>
      </c>
      <c r="AQ14" s="1616"/>
      <c r="AR14" s="1616"/>
    </row>
    <row s="32321" customFormat="1" customHeight="1" ht="0.75" hidden="1">
      <c r="A15" s="2342"/>
      <c r="B15" s="2342"/>
      <c r="C15" s="2342"/>
      <c r="D15" s="2342"/>
      <c r="E15" s="2562"/>
      <c r="F15" s="2342"/>
      <c r="G15" s="2342"/>
      <c r="H15" s="2342"/>
      <c r="I15" s="2342"/>
      <c r="J15" s="2342"/>
      <c r="K15" s="2342"/>
      <c r="L15" s="1746"/>
      <c r="M15" s="2343"/>
      <c r="N15" s="2343"/>
      <c r="O15" s="2001"/>
      <c r="P15" s="1682"/>
      <c r="Q15" s="1683"/>
      <c r="R15" s="1682"/>
      <c r="S15" s="1688"/>
      <c r="T15" s="1691" t="s">
        <v>270</v>
      </c>
      <c r="U15" s="1690"/>
      <c r="V15" s="1690"/>
      <c r="W15" s="1690"/>
      <c r="X15" s="1690"/>
      <c r="Y15" s="1690"/>
      <c r="Z15" s="1690"/>
      <c r="AA15" s="1690"/>
      <c r="AB15" s="1690"/>
      <c r="AC15" s="1690"/>
      <c r="AD15" s="1690"/>
      <c r="AE15" s="1690"/>
      <c r="AF15" s="1690"/>
      <c r="AG15" s="1690"/>
      <c r="AH15" s="1690"/>
      <c r="AI15" s="1690"/>
      <c r="AJ15" s="1690"/>
      <c r="AK15" s="1690"/>
      <c r="AL15" s="1690"/>
      <c r="AM15" s="1690"/>
      <c r="AO15" s="1616"/>
      <c r="AP15" s="1616" t="str">
        <f>IF(T15="","",T15)</f>
        <v>Добавить территорию для дифференциации</v>
      </c>
      <c r="AQ15" s="1616"/>
      <c r="AR15" s="1616"/>
    </row>
    <row customHeight="1" ht="14.25" hidden="1"/>
    <row customHeight="1" ht="14.25" hidden="1">
      <c r="AD17" s="1726"/>
      <c r="AE17" s="1726"/>
      <c r="AF17" s="1726"/>
      <c r="AG17" s="1727"/>
      <c r="AH17" s="2525"/>
      <c r="AI17" s="2524" t="s">
        <v>66</v>
      </c>
      <c r="AJ17" s="2525"/>
      <c r="AK17" s="2524" t="s">
        <v>66</v>
      </c>
    </row>
    <row customHeight="1" ht="14.25" hidden="1">
      <c r="AD18" s="1726"/>
      <c r="AE18" s="1726"/>
      <c r="AF18" s="1726"/>
      <c r="AG18" s="689" t="str">
        <f>AH17&amp;"-"&amp;AJ17</f>
        <v>-</v>
      </c>
      <c r="AH18" s="2524"/>
      <c r="AI18" s="2524"/>
      <c r="AJ18" s="2524"/>
      <c r="AK18" s="2524"/>
    </row>
    <row customHeight="1" ht="14.25" hidden="1"/>
    <row s="32328" customFormat="1" customHeight="1" ht="14.25" hidden="1">
      <c r="A20" s="1997"/>
      <c r="B20" s="1997"/>
      <c r="C20" s="1997"/>
      <c r="D20" s="1997"/>
      <c r="E20" s="1997"/>
      <c r="F20" s="1997"/>
      <c r="G20" s="1997"/>
      <c r="H20" s="1997"/>
      <c r="I20" s="1997"/>
      <c r="J20" s="1997"/>
      <c r="K20" s="1997"/>
      <c r="L20" s="2306"/>
      <c r="M20" s="2332"/>
      <c r="N20" s="2332"/>
      <c r="O20" s="1711" t="s">
        <v>456</v>
      </c>
      <c r="P20" s="1728"/>
      <c r="Q20" s="1737"/>
      <c r="R20" s="1737"/>
      <c r="S20" s="1090"/>
      <c r="Z20" s="1733"/>
      <c r="AB20" s="1733"/>
      <c r="AH20" s="1733"/>
      <c r="AJ20" s="1733"/>
      <c r="AN20" s="2002"/>
      <c r="AO20" s="2002"/>
      <c r="AP20" s="2002"/>
      <c r="AQ20" s="2002"/>
      <c r="AR20" s="2002"/>
    </row>
    <row s="32328" customFormat="1" customHeight="1" ht="14.25" hidden="1">
      <c r="A21" s="1997"/>
      <c r="B21" s="1997"/>
      <c r="C21" s="1997"/>
      <c r="D21" s="1997"/>
      <c r="E21" s="1997"/>
      <c r="F21" s="1997"/>
      <c r="G21" s="1997"/>
      <c r="H21" s="1997"/>
      <c r="I21" s="1997"/>
      <c r="J21" s="1997"/>
      <c r="K21" s="1997"/>
      <c r="L21" s="2306"/>
      <c r="M21" s="2332"/>
      <c r="N21" s="2332"/>
      <c r="O21" s="2332"/>
      <c r="P21" s="1728"/>
      <c r="Q21" s="1737"/>
      <c r="R21" s="1737"/>
      <c r="S21" s="1090"/>
      <c r="AN21" s="2002"/>
      <c r="AO21" s="2002"/>
      <c r="AP21" s="2002"/>
      <c r="AQ21" s="2002"/>
      <c r="AR21" s="2002"/>
    </row>
    <row s="32328" customFormat="1" customHeight="1" ht="14.25" hidden="1">
      <c r="A22" s="1997"/>
      <c r="B22" s="1997"/>
      <c r="C22" s="1997"/>
      <c r="D22" s="1997"/>
      <c r="E22" s="1997"/>
      <c r="F22" s="1997"/>
      <c r="G22" s="1997"/>
      <c r="H22" s="1997"/>
      <c r="I22" s="1997"/>
      <c r="J22" s="1997"/>
      <c r="K22" s="1997"/>
      <c r="L22" s="2306"/>
      <c r="M22" s="2332"/>
      <c r="N22" s="2332"/>
      <c r="O22" s="1676" t="s">
        <v>457</v>
      </c>
      <c r="P22" s="1728"/>
      <c r="Q22" s="1737"/>
      <c r="R22" s="1737"/>
      <c r="S22" s="1090"/>
      <c r="T22" s="1732" t="s">
        <v>458</v>
      </c>
      <c r="AA22" s="956" t="s">
        <v>459</v>
      </c>
      <c r="AC22" s="956" t="s">
        <v>460</v>
      </c>
      <c r="AD22" s="1732" t="s">
        <v>458</v>
      </c>
      <c r="AI22" s="956" t="s">
        <v>461</v>
      </c>
      <c r="AK22" s="956" t="s">
        <v>460</v>
      </c>
      <c r="AN22" s="2002"/>
      <c r="AO22" s="2002"/>
      <c r="AP22" s="2002"/>
      <c r="AQ22" s="2002"/>
      <c r="AR22" s="2002"/>
    </row>
    <row customHeight="1" ht="14.25" hidden="1">
      <c r="O23" s="1676"/>
    </row>
    <row customHeight="1" ht="14.25" hidden="1">
      <c r="O24" s="1676"/>
    </row>
    <row customHeight="1" ht="14.25">
      <c r="Q25" s="737"/>
      <c r="R25" s="737"/>
      <c r="S25" s="1641"/>
      <c r="T25" s="818"/>
      <c r="U25" s="818"/>
      <c r="V25" s="2001"/>
      <c r="W25" s="2001"/>
      <c r="X25" s="2001"/>
      <c r="Y25" s="2001"/>
      <c r="Z25" s="2001"/>
      <c r="AA25" s="2001"/>
      <c r="AB25" s="2001"/>
      <c r="AC25" s="2001"/>
      <c r="AD25" s="2001"/>
      <c r="AE25" s="2001"/>
      <c r="AF25" s="2001"/>
      <c r="AG25" s="2001"/>
      <c r="AH25" s="2001"/>
      <c r="AI25" s="2001"/>
      <c r="AJ25" s="2001"/>
      <c r="AK25" s="2001"/>
    </row>
    <row customHeight="1" ht="14.25">
      <c r="Q26" s="737"/>
      <c r="R26" s="737"/>
      <c r="S26" s="256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60"/>
      <c r="U26" s="2560"/>
      <c r="V26" s="2560"/>
      <c r="W26" s="2560"/>
      <c r="X26" s="2560"/>
      <c r="Y26" s="2560"/>
      <c r="Z26" s="2560"/>
      <c r="AA26" s="2560"/>
      <c r="AB26" s="2560"/>
      <c r="AC26" s="2560"/>
      <c r="AD26" s="2560"/>
      <c r="AE26" s="2560"/>
      <c r="AF26" s="2560"/>
      <c r="AG26" s="2560"/>
      <c r="AH26" s="2560"/>
      <c r="AI26" s="2560"/>
      <c r="AJ26" s="2560"/>
      <c r="AK26" s="1608"/>
    </row>
    <row customHeight="1" ht="14.25">
      <c r="Q27" s="737"/>
      <c r="R27" s="737"/>
      <c r="S27" s="2561" t="str">
        <f>IF(org=0,"Не определено",org)</f>
        <v>АО "Мурманэнергосбыт"</v>
      </c>
      <c r="T27" s="2561"/>
      <c r="U27" s="2561"/>
      <c r="V27" s="2561"/>
      <c r="W27" s="2561"/>
      <c r="X27" s="2561"/>
      <c r="Y27" s="2561"/>
      <c r="Z27" s="2561"/>
      <c r="AA27" s="2561"/>
      <c r="AB27" s="2561"/>
      <c r="AC27" s="2561"/>
      <c r="AD27" s="2561"/>
      <c r="AE27" s="2561"/>
      <c r="AF27" s="2561"/>
      <c r="AG27" s="2561"/>
      <c r="AH27" s="2561"/>
      <c r="AI27" s="2561"/>
      <c r="AJ27" s="2561"/>
      <c r="AK27" s="1608"/>
    </row>
    <row customHeight="1" ht="14.25" hidden="1">
      <c r="Q28" s="737"/>
      <c r="R28" s="737"/>
      <c r="S28" s="1641"/>
      <c r="T28" s="818"/>
      <c r="U28" s="818"/>
      <c r="V28" s="683"/>
      <c r="W28" s="683"/>
      <c r="X28" s="683"/>
      <c r="Y28" s="683"/>
      <c r="Z28" s="683"/>
      <c r="AA28" s="683"/>
      <c r="AB28" s="683"/>
      <c r="AC28" s="683"/>
      <c r="AD28" s="683"/>
      <c r="AE28" s="683"/>
      <c r="AF28" s="683"/>
      <c r="AG28" s="683"/>
      <c r="AH28" s="683"/>
      <c r="AI28" s="683"/>
      <c r="AJ28" s="683"/>
      <c r="AK28" s="683"/>
      <c r="AL28" s="2001"/>
    </row>
    <row s="32230" customFormat="1" customHeight="1" ht="25.5" hidden="1">
      <c r="A29" s="1613"/>
      <c r="B29" s="1613"/>
      <c r="C29" s="1613"/>
      <c r="D29" s="1613"/>
      <c r="E29" s="1613"/>
      <c r="F29" s="1613"/>
      <c r="G29" s="1613"/>
      <c r="H29" s="1613"/>
      <c r="I29" s="1613"/>
      <c r="J29" s="1613"/>
      <c r="K29" s="1613"/>
      <c r="L29" s="1746"/>
      <c r="M29" s="1613"/>
      <c r="N29" s="1613"/>
      <c r="O29" s="1613"/>
      <c r="S29" s="2518" t="s">
        <v>38</v>
      </c>
      <c r="T29" s="2518"/>
      <c r="U29" s="1738"/>
      <c r="V29" s="2520" t="str">
        <f>IF(TITLE_NAME_OR_PR_CHANGE="",IF(TITLE_NAME_OR_PR="","",TITLE_NAME_OR_PR),TITLE_NAME_OR_PR_CHANGE)</f>
        <v>Комитет по тарифному регулированию Мурманской области</v>
      </c>
      <c r="W29" s="2520"/>
      <c r="X29" s="2520"/>
      <c r="Y29" s="2520"/>
      <c r="Z29" s="2520"/>
      <c r="AA29" s="2520"/>
      <c r="AB29" s="2520"/>
      <c r="AC29" s="2001"/>
      <c r="AD29" s="2520" t="str">
        <f>IF(TITLE_NAME_OR_PR_CHANGE="",IF(TITLE_NAME_OR_PR="","",TITLE_NAME_OR_PR),TITLE_NAME_OR_PR_CHANGE)</f>
        <v>Комитет по тарифному регулированию Мурманской области</v>
      </c>
      <c r="AE29" s="2520"/>
      <c r="AF29" s="2520"/>
      <c r="AG29" s="2520"/>
      <c r="AH29" s="2520"/>
      <c r="AI29" s="2520"/>
      <c r="AJ29" s="2520"/>
      <c r="AK29" s="2001"/>
      <c r="AL29" s="2001"/>
      <c r="AM29" s="641"/>
      <c r="AN29" s="729"/>
      <c r="AO29" s="729"/>
      <c r="AP29" s="729"/>
      <c r="AQ29" s="729"/>
      <c r="AR29" s="729"/>
    </row>
    <row s="32230" customFormat="1" customHeight="1" ht="18.75" hidden="1">
      <c r="A30" s="1613"/>
      <c r="B30" s="1613"/>
      <c r="C30" s="1613"/>
      <c r="D30" s="1613"/>
      <c r="E30" s="1613"/>
      <c r="F30" s="1613"/>
      <c r="G30" s="1613"/>
      <c r="H30" s="1613"/>
      <c r="I30" s="1613"/>
      <c r="J30" s="1613"/>
      <c r="K30" s="1613"/>
      <c r="L30" s="1746"/>
      <c r="M30" s="1613"/>
      <c r="N30" s="1613"/>
      <c r="O30" s="1613"/>
      <c r="S30" s="2518" t="s">
        <v>462</v>
      </c>
      <c r="T30" s="2518"/>
      <c r="U30" s="1738"/>
      <c r="V30" s="2519" t="str">
        <f>IF(TITLE_DATE_PR_CHANGE="",IF(TITLE_DATE_PR="","",TITLE_DATE_PR),TITLE_DATE_PR_CHANGE)</f>
        <v>45280</v>
      </c>
      <c r="W30" s="2519"/>
      <c r="X30" s="2519"/>
      <c r="Y30" s="2519"/>
      <c r="Z30" s="2519"/>
      <c r="AA30" s="2519"/>
      <c r="AB30" s="2519"/>
      <c r="AC30" s="2001"/>
      <c r="AD30" s="2519" t="str">
        <f>IF(TITLE_DATE_PR_CHANGE="",IF(TITLE_DATE_PR="","",TITLE_DATE_PR),TITLE_DATE_PR_CHANGE)</f>
        <v>45280</v>
      </c>
      <c r="AE30" s="2519"/>
      <c r="AF30" s="2519"/>
      <c r="AG30" s="2519"/>
      <c r="AH30" s="2519"/>
      <c r="AI30" s="2519"/>
      <c r="AJ30" s="2519"/>
      <c r="AK30" s="2001"/>
      <c r="AL30" s="2001"/>
      <c r="AM30" s="641"/>
      <c r="AN30" s="729"/>
      <c r="AO30" s="729"/>
      <c r="AP30" s="729"/>
      <c r="AQ30" s="729"/>
      <c r="AR30" s="729"/>
    </row>
    <row s="32230" customFormat="1" customHeight="1" ht="18.75" hidden="1">
      <c r="A31" s="1613"/>
      <c r="B31" s="1613"/>
      <c r="C31" s="1613"/>
      <c r="D31" s="1613"/>
      <c r="E31" s="1613"/>
      <c r="F31" s="1613"/>
      <c r="G31" s="1613"/>
      <c r="H31" s="1613"/>
      <c r="I31" s="1613"/>
      <c r="J31" s="1613"/>
      <c r="K31" s="1613"/>
      <c r="L31" s="1746"/>
      <c r="M31" s="1613"/>
      <c r="N31" s="1613"/>
      <c r="O31" s="1613"/>
      <c r="S31" s="2518" t="s">
        <v>463</v>
      </c>
      <c r="T31" s="2518"/>
      <c r="U31" s="1738"/>
      <c r="V31" s="2520" t="str">
        <f>IF(TITLE_NUMBER_PR_CHANGE="",IF(TITLE_NUMBER_PR="","",TITLE_NUMBER_PR),TITLE_NUMBER_PR_CHANGE)</f>
        <v>51/16</v>
      </c>
      <c r="W31" s="2520"/>
      <c r="X31" s="2520"/>
      <c r="Y31" s="2520"/>
      <c r="Z31" s="2520"/>
      <c r="AA31" s="2520"/>
      <c r="AB31" s="2520"/>
      <c r="AC31" s="2001"/>
      <c r="AD31" s="2520" t="str">
        <f>IF(TITLE_NUMBER_PR_CHANGE="",IF(TITLE_NUMBER_PR="","",TITLE_NUMBER_PR),TITLE_NUMBER_PR_CHANGE)</f>
        <v>51/16</v>
      </c>
      <c r="AE31" s="2520"/>
      <c r="AF31" s="2520"/>
      <c r="AG31" s="2520"/>
      <c r="AH31" s="2520"/>
      <c r="AI31" s="2520"/>
      <c r="AJ31" s="2520"/>
      <c r="AK31" s="2001"/>
      <c r="AL31" s="2001"/>
      <c r="AM31" s="641"/>
      <c r="AN31" s="729"/>
      <c r="AO31" s="729"/>
      <c r="AP31" s="729"/>
      <c r="AQ31" s="729"/>
      <c r="AR31" s="729"/>
    </row>
    <row s="32230" customFormat="1" customHeight="1" ht="18.75" hidden="1">
      <c r="A32" s="1613"/>
      <c r="B32" s="1613"/>
      <c r="C32" s="1613"/>
      <c r="D32" s="1613"/>
      <c r="E32" s="1613"/>
      <c r="F32" s="1613"/>
      <c r="G32" s="1613"/>
      <c r="H32" s="1613"/>
      <c r="I32" s="1613"/>
      <c r="J32" s="1613"/>
      <c r="K32" s="1613"/>
      <c r="L32" s="1746"/>
      <c r="M32" s="1613"/>
      <c r="N32" s="1613"/>
      <c r="O32" s="1613"/>
      <c r="S32" s="2518" t="s">
        <v>40</v>
      </c>
      <c r="T32" s="2518"/>
      <c r="U32" s="1738"/>
      <c r="V32" s="2520" t="str">
        <f>IF(TITLE_IST_PUB_CHANGE="",IF(TITLE_IST_PUB="","",TITLE_IST_PUB),TITLE_IST_PUB_CHANGE)</f>
        <v>https://npa.gov-murman.ru/bitrix/components/b1team/govmurman.element.file/download.php?ID=508455&amp;FID=750728</v>
      </c>
      <c r="W32" s="2520"/>
      <c r="X32" s="2520"/>
      <c r="Y32" s="2520"/>
      <c r="Z32" s="2520"/>
      <c r="AA32" s="2520"/>
      <c r="AB32" s="2520"/>
      <c r="AC32" s="2001"/>
      <c r="AD32" s="2520" t="str">
        <f>IF(TITLE_IST_PUB_CHANGE="",IF(TITLE_IST_PUB="","",TITLE_IST_PUB),TITLE_IST_PUB_CHANGE)</f>
        <v>https://npa.gov-murman.ru/bitrix/components/b1team/govmurman.element.file/download.php?ID=508455&amp;FID=750728</v>
      </c>
      <c r="AE32" s="2520"/>
      <c r="AF32" s="2520"/>
      <c r="AG32" s="2520"/>
      <c r="AH32" s="2520"/>
      <c r="AI32" s="2520"/>
      <c r="AJ32" s="2520"/>
      <c r="AK32" s="2001"/>
      <c r="AL32" s="2001"/>
      <c r="AM32" s="641"/>
      <c r="AN32" s="729"/>
      <c r="AO32" s="729"/>
      <c r="AP32" s="729"/>
      <c r="AQ32" s="729"/>
      <c r="AR32" s="729"/>
    </row>
    <row customHeight="1" ht="14.25" hidden="1">
      <c r="Q33" s="737"/>
      <c r="R33" s="737"/>
      <c r="S33" s="1641"/>
      <c r="T33" s="818"/>
      <c r="U33" s="818"/>
      <c r="V33" s="683"/>
      <c r="W33" s="683"/>
      <c r="X33" s="683"/>
      <c r="Y33" s="683"/>
      <c r="Z33" s="683"/>
      <c r="AA33" s="683"/>
      <c r="AB33" s="683"/>
      <c r="AC33" s="683"/>
      <c r="AD33" s="683"/>
      <c r="AE33" s="683"/>
      <c r="AF33" s="683"/>
      <c r="AG33" s="683"/>
      <c r="AH33" s="683"/>
      <c r="AI33" s="683"/>
      <c r="AJ33" s="683"/>
      <c r="AK33" s="683"/>
      <c r="AL33" s="2001"/>
    </row>
    <row s="32230" customFormat="1" customHeight="1" ht="18.75" hidden="1">
      <c r="A34" s="1613"/>
      <c r="B34" s="1613"/>
      <c r="C34" s="1613"/>
      <c r="D34" s="1613"/>
      <c r="E34" s="1613"/>
      <c r="F34" s="1613"/>
      <c r="G34" s="1613"/>
      <c r="H34" s="1613"/>
      <c r="I34" s="1613"/>
      <c r="J34" s="1613"/>
      <c r="K34" s="1613"/>
      <c r="L34" s="1746"/>
      <c r="M34" s="1613"/>
      <c r="N34" s="1613"/>
      <c r="O34" s="1613"/>
      <c r="S34" s="2518" t="s">
        <v>464</v>
      </c>
      <c r="T34" s="2518"/>
      <c r="U34" s="1738"/>
      <c r="V34" s="2519" t="str">
        <f>IF(TITLE_DATE_PR_CHANGE="",IF(TITLE_DATE_PR="","",TITLE_DATE_PR),TITLE_DATE_PR_CHANGE)</f>
        <v>45280</v>
      </c>
      <c r="W34" s="2519"/>
      <c r="X34" s="2519"/>
      <c r="Y34" s="2519"/>
      <c r="Z34" s="2519"/>
      <c r="AA34" s="2519"/>
      <c r="AB34" s="2519"/>
      <c r="AC34" s="2001"/>
      <c r="AD34" s="2519" t="str">
        <f>IF(TITLE_DATE_PR_CHANGE="",IF(TITLE_DATE_PR="","",TITLE_DATE_PR),TITLE_DATE_PR_CHANGE)</f>
        <v>45280</v>
      </c>
      <c r="AE34" s="2519"/>
      <c r="AF34" s="2519"/>
      <c r="AG34" s="2519"/>
      <c r="AH34" s="2519"/>
      <c r="AI34" s="2519"/>
      <c r="AJ34" s="2519"/>
      <c r="AK34" s="2001"/>
      <c r="AL34" s="2001"/>
      <c r="AM34" s="641"/>
      <c r="AN34" s="729"/>
      <c r="AO34" s="729"/>
      <c r="AP34" s="729"/>
      <c r="AQ34" s="729"/>
      <c r="AR34" s="729"/>
    </row>
    <row s="32230" customFormat="1" customHeight="1" ht="18.75" hidden="1">
      <c r="A35" s="1613"/>
      <c r="B35" s="1613"/>
      <c r="C35" s="1613"/>
      <c r="D35" s="1613"/>
      <c r="E35" s="1613"/>
      <c r="F35" s="1613"/>
      <c r="G35" s="1613"/>
      <c r="H35" s="1613"/>
      <c r="I35" s="1613"/>
      <c r="J35" s="1613"/>
      <c r="K35" s="1613"/>
      <c r="L35" s="1746"/>
      <c r="M35" s="1613"/>
      <c r="N35" s="1613"/>
      <c r="O35" s="1613"/>
      <c r="S35" s="2518" t="s">
        <v>465</v>
      </c>
      <c r="T35" s="2518"/>
      <c r="U35" s="1738"/>
      <c r="V35" s="2520" t="str">
        <f>IF(TITLE_NUMBER_PR_CHANGE="",IF(TITLE_NUMBER_PR="","",TITLE_NUMBER_PR),TITLE_NUMBER_PR_CHANGE)</f>
        <v>51/16</v>
      </c>
      <c r="W35" s="2520"/>
      <c r="X35" s="2520"/>
      <c r="Y35" s="2520"/>
      <c r="Z35" s="2520"/>
      <c r="AA35" s="2520"/>
      <c r="AB35" s="2520"/>
      <c r="AC35" s="2001"/>
      <c r="AD35" s="2520" t="str">
        <f>IF(TITLE_NUMBER_PR_CHANGE="",IF(TITLE_NUMBER_PR="","",TITLE_NUMBER_PR),TITLE_NUMBER_PR_CHANGE)</f>
        <v>51/16</v>
      </c>
      <c r="AE35" s="2520"/>
      <c r="AF35" s="2520"/>
      <c r="AG35" s="2520"/>
      <c r="AH35" s="2520"/>
      <c r="AI35" s="2520"/>
      <c r="AJ35" s="2520"/>
      <c r="AK35" s="2001"/>
      <c r="AL35" s="2001"/>
      <c r="AM35" s="641"/>
      <c r="AN35" s="729"/>
      <c r="AO35" s="729"/>
      <c r="AP35" s="729"/>
      <c r="AQ35" s="729"/>
      <c r="AR35" s="729"/>
    </row>
    <row s="32230" customFormat="1" customHeight="1" ht="0">
      <c r="A36" s="1613"/>
      <c r="B36" s="1613"/>
      <c r="C36" s="1613"/>
      <c r="D36" s="1613"/>
      <c r="E36" s="1613"/>
      <c r="F36" s="1613"/>
      <c r="G36" s="1613"/>
      <c r="H36" s="1613"/>
      <c r="I36" s="1613"/>
      <c r="J36" s="1613"/>
      <c r="K36" s="1613"/>
      <c r="L36" s="1746"/>
      <c r="M36" s="1613"/>
      <c r="N36" s="1613"/>
      <c r="O36" s="1613"/>
      <c r="S36" s="2001"/>
      <c r="T36" s="2001"/>
      <c r="U36" s="2337"/>
      <c r="V36" s="2001"/>
      <c r="W36" s="2001"/>
      <c r="X36" s="2001"/>
      <c r="Y36" s="2001"/>
      <c r="Z36" s="2001"/>
      <c r="AA36" s="2001"/>
      <c r="AB36" s="2001"/>
      <c r="AC36" s="2008" t="s">
        <v>466</v>
      </c>
      <c r="AD36" s="2001"/>
      <c r="AE36" s="2001"/>
      <c r="AF36" s="2001"/>
      <c r="AG36" s="2001"/>
      <c r="AH36" s="2001"/>
      <c r="AI36" s="2001"/>
      <c r="AJ36" s="2001"/>
      <c r="AK36" s="2008" t="s">
        <v>466</v>
      </c>
      <c r="AN36" s="729"/>
      <c r="AO36" s="729"/>
      <c r="AP36" s="729"/>
      <c r="AQ36" s="729"/>
      <c r="AR36" s="729"/>
    </row>
    <row customHeight="1" ht="14.25">
      <c r="Q37" s="737"/>
      <c r="R37" s="737"/>
      <c r="S37" s="1641"/>
      <c r="T37" s="818"/>
      <c r="U37" s="1609"/>
      <c r="V37" s="2544"/>
      <c r="W37" s="2544"/>
      <c r="X37" s="2544"/>
      <c r="Y37" s="2544"/>
      <c r="Z37" s="2544"/>
      <c r="AA37" s="2544"/>
      <c r="AB37" s="2544"/>
      <c r="AC37" s="2544"/>
      <c r="AD37" s="2544"/>
      <c r="AE37" s="2544"/>
      <c r="AF37" s="2544"/>
      <c r="AG37" s="2544"/>
      <c r="AH37" s="2544"/>
      <c r="AI37" s="2544"/>
      <c r="AJ37" s="2544"/>
      <c r="AK37" s="2544"/>
    </row>
    <row customHeight="1" ht="14.25">
      <c r="Q38" s="737"/>
      <c r="R38" s="737"/>
      <c r="S38" s="2392" t="s">
        <v>341</v>
      </c>
      <c r="T38" s="2392"/>
      <c r="U38" s="2392"/>
      <c r="V38" s="2392"/>
      <c r="W38" s="2392"/>
      <c r="X38" s="2392"/>
      <c r="Y38" s="2392"/>
      <c r="Z38" s="2392"/>
      <c r="AA38" s="2392"/>
      <c r="AB38" s="2392"/>
      <c r="AC38" s="2392"/>
      <c r="AD38" s="2392"/>
      <c r="AE38" s="2392"/>
      <c r="AF38" s="2392"/>
      <c r="AG38" s="2392"/>
      <c r="AH38" s="2392"/>
      <c r="AI38" s="2392"/>
      <c r="AJ38" s="2392"/>
      <c r="AK38" s="2392"/>
      <c r="AL38" s="2392"/>
      <c r="AM38" s="2392" t="s">
        <v>342</v>
      </c>
    </row>
    <row customHeight="1" ht="14.25">
      <c r="Q39" s="737"/>
      <c r="R39" s="737"/>
      <c r="S39" s="2545" t="s">
        <v>87</v>
      </c>
      <c r="T39" s="2482" t="s">
        <v>467</v>
      </c>
      <c r="U39" s="698"/>
      <c r="V39" s="2546" t="s">
        <v>468</v>
      </c>
      <c r="W39" s="2547"/>
      <c r="X39" s="2547"/>
      <c r="Y39" s="2547"/>
      <c r="Z39" s="2547"/>
      <c r="AA39" s="2547"/>
      <c r="AB39" s="2548"/>
      <c r="AC39" s="2549" t="s">
        <v>469</v>
      </c>
      <c r="AD39" s="2546" t="s">
        <v>468</v>
      </c>
      <c r="AE39" s="2547"/>
      <c r="AF39" s="2547"/>
      <c r="AG39" s="2547"/>
      <c r="AH39" s="2547"/>
      <c r="AI39" s="2547"/>
      <c r="AJ39" s="2548"/>
      <c r="AK39" s="2549" t="s">
        <v>470</v>
      </c>
      <c r="AL39" s="2552" t="s">
        <v>471</v>
      </c>
      <c r="AM39" s="2392"/>
    </row>
    <row customHeight="1" ht="33.75">
      <c r="Q40" s="737"/>
      <c r="R40" s="737"/>
      <c r="S40" s="2545"/>
      <c r="T40" s="2482"/>
      <c r="U40" s="1393"/>
      <c r="V40" s="2555" t="s">
        <v>472</v>
      </c>
      <c r="W40" s="2536" t="s">
        <v>473</v>
      </c>
      <c r="X40" s="2538" t="s">
        <v>474</v>
      </c>
      <c r="Y40" s="2540"/>
      <c r="Z40" s="2538" t="s">
        <v>487</v>
      </c>
      <c r="AA40" s="2539"/>
      <c r="AB40" s="2540"/>
      <c r="AC40" s="2550"/>
      <c r="AD40" s="2555" t="s">
        <v>472</v>
      </c>
      <c r="AE40" s="2536" t="s">
        <v>473</v>
      </c>
      <c r="AF40" s="2538" t="s">
        <v>474</v>
      </c>
      <c r="AG40" s="2540"/>
      <c r="AH40" s="2538" t="s">
        <v>475</v>
      </c>
      <c r="AI40" s="2539"/>
      <c r="AJ40" s="2540"/>
      <c r="AK40" s="2550"/>
      <c r="AL40" s="2553"/>
      <c r="AM40" s="2392"/>
    </row>
    <row customHeight="1" ht="33.75">
      <c r="A41" s="1632"/>
      <c r="B41" s="1632" t="s">
        <v>143</v>
      </c>
      <c r="C41" s="1632" t="s">
        <v>144</v>
      </c>
      <c r="D41" s="1632" t="s">
        <v>145</v>
      </c>
      <c r="E41" s="1676" t="s">
        <v>476</v>
      </c>
      <c r="F41" s="1676" t="s">
        <v>477</v>
      </c>
      <c r="G41" s="1676" t="s">
        <v>478</v>
      </c>
      <c r="H41" s="1676" t="s">
        <v>479</v>
      </c>
      <c r="I41" s="1676" t="s">
        <v>480</v>
      </c>
      <c r="J41" s="1676" t="s">
        <v>481</v>
      </c>
      <c r="K41" s="1676" t="s">
        <v>482</v>
      </c>
      <c r="L41" s="1676" t="s">
        <v>457</v>
      </c>
      <c r="Q41" s="737"/>
      <c r="R41" s="737"/>
      <c r="S41" s="2545"/>
      <c r="T41" s="2482"/>
      <c r="U41" s="663"/>
      <c r="V41" s="2556"/>
      <c r="W41" s="2537"/>
      <c r="X41" s="2305" t="s">
        <v>483</v>
      </c>
      <c r="Y41" s="2305" t="s">
        <v>484</v>
      </c>
      <c r="Z41" s="2305" t="s">
        <v>485</v>
      </c>
      <c r="AA41" s="2541" t="s">
        <v>486</v>
      </c>
      <c r="AB41" s="2542"/>
      <c r="AC41" s="2551"/>
      <c r="AD41" s="2556"/>
      <c r="AE41" s="2537"/>
      <c r="AF41" s="2305" t="s">
        <v>483</v>
      </c>
      <c r="AG41" s="2305" t="s">
        <v>484</v>
      </c>
      <c r="AH41" s="2305" t="s">
        <v>485</v>
      </c>
      <c r="AI41" s="2541" t="s">
        <v>486</v>
      </c>
      <c r="AJ41" s="2542"/>
      <c r="AK41" s="2551"/>
      <c r="AL41" s="2554"/>
      <c r="AM41" s="2392"/>
    </row>
    <row s="32338" customFormat="1" customHeight="1" ht="11.25" hidden="1">
      <c r="A42" s="1632"/>
      <c r="B42" s="1632"/>
      <c r="C42" s="1632"/>
      <c r="D42" s="1632"/>
      <c r="E42" s="1632"/>
      <c r="F42" s="1632"/>
      <c r="G42" s="1632"/>
      <c r="H42" s="1632"/>
      <c r="I42" s="1632"/>
      <c r="J42" s="1632"/>
      <c r="K42" s="1632"/>
      <c r="L42" s="1676"/>
      <c r="M42" s="2332"/>
      <c r="N42" s="2332"/>
      <c r="O42" s="2332"/>
      <c r="P42" s="1611"/>
      <c r="Q42" s="1612"/>
      <c r="R42" s="1619">
        <v>1</v>
      </c>
      <c r="S42" s="1643" t="s">
        <v>118</v>
      </c>
      <c r="T42" s="1620" t="s">
        <v>102</v>
      </c>
      <c r="U42" s="1610" t="str">
        <f>OFFSET(U42,0,-1)</f>
        <v>2</v>
      </c>
      <c r="V42" s="2323">
        <f>OFFSET(V42,0,-1)+1</f>
        <v>3</v>
      </c>
      <c r="W42" s="2323"/>
      <c r="X42" s="2323">
        <f>OFFSET(X42,0,-1)+1</f>
        <v>1</v>
      </c>
      <c r="Y42" s="2323">
        <f>OFFSET(Y42,0,-1)+1</f>
        <v>2</v>
      </c>
      <c r="Z42" s="2323">
        <f>OFFSET(Z42,0,-1)+1</f>
        <v>3</v>
      </c>
      <c r="AA42" s="2543">
        <f>OFFSET(AA42,0,-1)+1</f>
        <v>4</v>
      </c>
      <c r="AB42" s="2543"/>
      <c r="AC42" s="2323">
        <f>OFFSET(AC42,0,-2)+1</f>
        <v>5</v>
      </c>
      <c r="AD42" s="2323">
        <f>OFFSET(AD42,0,-1)+1</f>
        <v>6</v>
      </c>
      <c r="AE42" s="2323"/>
      <c r="AF42" s="2323">
        <f>OFFSET(AF42,0,-1)+1</f>
        <v>1</v>
      </c>
      <c r="AG42" s="2323">
        <f>OFFSET(AG42,0,-1)+1</f>
        <v>2</v>
      </c>
      <c r="AH42" s="2323">
        <f>OFFSET(AH42,0,-1)+1</f>
        <v>3</v>
      </c>
      <c r="AI42" s="2543">
        <f>OFFSET(AI42,0,-1)+1</f>
        <v>4</v>
      </c>
      <c r="AJ42" s="2543"/>
      <c r="AK42" s="2323">
        <f>OFFSET(AK42,0,-2)+1</f>
        <v>5</v>
      </c>
      <c r="AL42" s="1610">
        <f>OFFSET(AL42,0,-1)</f>
        <v>5</v>
      </c>
      <c r="AM42" s="2323">
        <f>OFFSET(AM42,0,-1)+1</f>
        <v>6</v>
      </c>
      <c r="AN42" s="2002"/>
      <c r="AO42" s="2002"/>
      <c r="AP42" s="2002"/>
      <c r="AQ42" s="2002"/>
      <c r="AR42" s="2002"/>
    </row>
    <row customHeight="1" ht="21">
      <c r="A43" s="1633" t="s">
        <v>216</v>
      </c>
      <c r="B43" s="1633"/>
      <c r="C43" s="1633"/>
      <c r="D43" s="1633"/>
      <c r="E43" s="2562">
        <v>1</v>
      </c>
      <c r="F43" s="1633"/>
      <c r="G43" s="1633"/>
      <c r="H43" s="1633"/>
      <c r="I43" s="1633"/>
      <c r="J43" s="1633"/>
      <c r="K43" s="1633"/>
      <c r="L43" s="1676"/>
      <c r="M43" s="1976"/>
      <c r="N43" s="1976"/>
      <c r="O43" s="1976"/>
      <c r="P43" s="1956"/>
      <c r="Q43" s="721"/>
      <c r="R43" s="716"/>
      <c r="S43" s="2325">
        <f>INDEX(PT_DIFFERENTIATION_NUM_NTAR,MATCH(A43,PT_DIFFERENTIATION_NTAR_ID,0))</f>
        <v>0</v>
      </c>
      <c r="T43" s="1891" t="s">
        <v>131</v>
      </c>
      <c r="U43" s="661"/>
      <c r="V43" s="2521"/>
      <c r="W43" s="2522"/>
      <c r="X43" s="2522"/>
      <c r="Y43" s="2522"/>
      <c r="Z43" s="2522"/>
      <c r="AA43" s="2522"/>
      <c r="AB43" s="2522"/>
      <c r="AC43" s="2523"/>
      <c r="AD43" s="2521" t="str">
        <f>INDEX(PT_DIFFERENTIATION_NTAR,MATCH(A43,PT_DIFFERENTIATION_NTAR_ID,0))</f>
        <v/>
      </c>
      <c r="AE43" s="2522"/>
      <c r="AF43" s="2522"/>
      <c r="AG43" s="2522"/>
      <c r="AH43" s="2522"/>
      <c r="AI43" s="2522"/>
      <c r="AJ43" s="2522"/>
      <c r="AK43" s="2522"/>
      <c r="AL43" s="2523"/>
      <c r="AM43" s="16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990"/>
      <c r="AP43" s="1990" t="str">
        <f>IF(T43="","",T43)</f>
        <v>Наименование тарифа</v>
      </c>
      <c r="AQ43" s="1990"/>
      <c r="AR43" s="1990"/>
    </row>
    <row customHeight="1" ht="21">
      <c r="A44" s="1633" t="s">
        <v>216</v>
      </c>
      <c r="B44" s="1633" t="s">
        <v>217</v>
      </c>
      <c r="C44" s="1633"/>
      <c r="D44" s="1633"/>
      <c r="E44" s="2563"/>
      <c r="F44" s="2562">
        <v>1</v>
      </c>
      <c r="G44" s="1633"/>
      <c r="H44" s="1633"/>
      <c r="I44" s="1633"/>
      <c r="J44" s="1633"/>
      <c r="K44" s="1633"/>
      <c r="L44" s="1676"/>
      <c r="M44" s="1976"/>
      <c r="N44" s="1976"/>
      <c r="O44" s="1976"/>
      <c r="P44" s="2307"/>
      <c r="Q44" s="713"/>
      <c r="R44" s="714"/>
      <c r="S44" s="2325" t="str">
        <f>INDEX(PT_DIFFERENTIATION_NUM_TER,MATCH(B44,PT_DIFFERENTIATION_TER_ID,0))</f>
        <v>.</v>
      </c>
      <c r="T44" s="1888" t="s">
        <v>438</v>
      </c>
      <c r="U44" s="661"/>
      <c r="V44" s="2521"/>
      <c r="W44" s="2522"/>
      <c r="X44" s="2522"/>
      <c r="Y44" s="2522"/>
      <c r="Z44" s="2522"/>
      <c r="AA44" s="2522"/>
      <c r="AB44" s="2522"/>
      <c r="AC44" s="2523"/>
      <c r="AD44" s="2521" t="str">
        <f>INDEX(PT_DIFFERENTIATION_TER,MATCH(B44,PT_DIFFERENTIATION_TER_ID,0))</f>
        <v/>
      </c>
      <c r="AE44" s="2522"/>
      <c r="AF44" s="2522"/>
      <c r="AG44" s="2522"/>
      <c r="AH44" s="2522"/>
      <c r="AI44" s="2522"/>
      <c r="AJ44" s="2522"/>
      <c r="AK44" s="2522"/>
      <c r="AL44" s="2523"/>
      <c r="AM44" s="1623" t="s">
        <v>439</v>
      </c>
      <c r="AO44" s="1990"/>
      <c r="AP44" s="1990" t="str">
        <f>IF(T44="","",T44)</f>
        <v>Территория действия тарифа</v>
      </c>
      <c r="AQ44" s="1990"/>
      <c r="AR44" s="1990"/>
    </row>
    <row customHeight="1" ht="23.25">
      <c r="A45" s="1633" t="s">
        <v>216</v>
      </c>
      <c r="B45" s="1633" t="s">
        <v>217</v>
      </c>
      <c r="C45" s="1633" t="s">
        <v>218</v>
      </c>
      <c r="D45" s="1633"/>
      <c r="E45" s="2563"/>
      <c r="F45" s="2563"/>
      <c r="G45" s="2562">
        <v>1</v>
      </c>
      <c r="H45" s="1633"/>
      <c r="I45" s="1633"/>
      <c r="J45" s="1633"/>
      <c r="K45" s="1633"/>
      <c r="L45" s="1676"/>
      <c r="M45" s="1976"/>
      <c r="N45" s="1976"/>
      <c r="O45" s="1976"/>
      <c r="P45" s="715"/>
      <c r="Q45" s="713"/>
      <c r="R45" s="714"/>
      <c r="S45" s="2325" t="str">
        <f>INDEX(PT_DIFFERENTIATION_NUM_CS,MATCH(C45,PT_DIFFERENTIATION_CS_ID,0))</f>
        <v>..</v>
      </c>
      <c r="T45" s="670" t="s">
        <v>440</v>
      </c>
      <c r="U45" s="661"/>
      <c r="V45" s="2521"/>
      <c r="W45" s="2522"/>
      <c r="X45" s="2522"/>
      <c r="Y45" s="2522"/>
      <c r="Z45" s="2522"/>
      <c r="AA45" s="2522"/>
      <c r="AB45" s="2522"/>
      <c r="AC45" s="2523"/>
      <c r="AD45" s="2521" t="str">
        <f>INDEX(PT_DIFFERENTIATION_CS,MATCH(C45,PT_DIFFERENTIATION_CS_ID,0))</f>
        <v/>
      </c>
      <c r="AE45" s="2522"/>
      <c r="AF45" s="2522"/>
      <c r="AG45" s="2522"/>
      <c r="AH45" s="2522"/>
      <c r="AI45" s="2522"/>
      <c r="AJ45" s="2522"/>
      <c r="AK45" s="2522"/>
      <c r="AL45" s="2523"/>
      <c r="AM45" s="1623" t="s">
        <v>441</v>
      </c>
      <c r="AO45" s="1990"/>
      <c r="AP45" s="1990" t="str">
        <f>IF(T45="","",T45)</f>
        <v>Наименование системы теплоснабжения </v>
      </c>
      <c r="AQ45" s="1990"/>
      <c r="AR45" s="1990"/>
    </row>
    <row customHeight="1" ht="21">
      <c r="A46" s="1633" t="s">
        <v>216</v>
      </c>
      <c r="B46" s="1633" t="s">
        <v>217</v>
      </c>
      <c r="C46" s="1633" t="s">
        <v>218</v>
      </c>
      <c r="D46" s="1633" t="s">
        <v>219</v>
      </c>
      <c r="E46" s="2563"/>
      <c r="F46" s="2563"/>
      <c r="G46" s="2563"/>
      <c r="H46" s="2562">
        <v>1</v>
      </c>
      <c r="I46" s="1633"/>
      <c r="J46" s="1633"/>
      <c r="K46" s="1633"/>
      <c r="L46" s="1676"/>
      <c r="M46" s="1976"/>
      <c r="N46" s="1976"/>
      <c r="O46" s="1976"/>
      <c r="P46" s="715"/>
      <c r="Q46" s="713"/>
      <c r="R46" s="714"/>
      <c r="S46" s="2325" t="str">
        <f>INDEX(PT_DIFFERENTIATION_NUM_IST_TE,MATCH(D46,PT_DIFFERENTIATION_IST_TE_ID,0))</f>
        <v>...</v>
      </c>
      <c r="T46" s="671" t="s">
        <v>442</v>
      </c>
      <c r="U46" s="661"/>
      <c r="V46" s="2521"/>
      <c r="W46" s="2522"/>
      <c r="X46" s="2522"/>
      <c r="Y46" s="2522"/>
      <c r="Z46" s="2522"/>
      <c r="AA46" s="2522"/>
      <c r="AB46" s="2522"/>
      <c r="AC46" s="2523"/>
      <c r="AD46" s="2521" t="str">
        <f>INDEX(PT_DIFFERENTIATION_IST_TE,MATCH(D46,PT_DIFFERENTIATION_IST_TE_ID,0))</f>
        <v/>
      </c>
      <c r="AE46" s="2522"/>
      <c r="AF46" s="2522"/>
      <c r="AG46" s="2522"/>
      <c r="AH46" s="2522"/>
      <c r="AI46" s="2522"/>
      <c r="AJ46" s="2522"/>
      <c r="AK46" s="2522"/>
      <c r="AL46" s="2523"/>
      <c r="AM46" s="1623" t="s">
        <v>443</v>
      </c>
      <c r="AO46" s="1990"/>
      <c r="AP46" s="1990" t="str">
        <f>IF(T46="","",T46)</f>
        <v>Источник тепловой энергии  </v>
      </c>
      <c r="AQ46" s="1990"/>
      <c r="AR46" s="1990"/>
    </row>
    <row customHeight="1" ht="47.25">
      <c r="A47" s="1633" t="s">
        <v>216</v>
      </c>
      <c r="B47" s="1633" t="s">
        <v>217</v>
      </c>
      <c r="C47" s="1633" t="s">
        <v>218</v>
      </c>
      <c r="D47" s="1633" t="s">
        <v>219</v>
      </c>
      <c r="E47" s="2563"/>
      <c r="F47" s="2563"/>
      <c r="G47" s="2563"/>
      <c r="H47" s="2563"/>
      <c r="I47" s="2392" t="str">
        <f>S46&amp;".1"</f>
        <v>....1</v>
      </c>
      <c r="J47" s="1633"/>
      <c r="K47" s="1633"/>
      <c r="L47" s="1676" t="s">
        <v>444</v>
      </c>
      <c r="P47" s="2531">
        <v>1</v>
      </c>
      <c r="Q47" s="2321"/>
      <c r="R47" s="717"/>
      <c r="S47" s="2325" t="str">
        <f>$I47</f>
        <v>....1</v>
      </c>
      <c r="T47" s="646" t="s">
        <v>445</v>
      </c>
      <c r="U47" s="661"/>
      <c r="V47" s="2515"/>
      <c r="W47" s="2516"/>
      <c r="X47" s="2516"/>
      <c r="Y47" s="2516"/>
      <c r="Z47" s="2516"/>
      <c r="AA47" s="2516"/>
      <c r="AB47" s="2516"/>
      <c r="AC47" s="2517"/>
      <c r="AD47" s="2515"/>
      <c r="AE47" s="2516"/>
      <c r="AF47" s="2516"/>
      <c r="AG47" s="2516"/>
      <c r="AH47" s="2516"/>
      <c r="AI47" s="2516"/>
      <c r="AJ47" s="2516"/>
      <c r="AK47" s="2516"/>
      <c r="AL47" s="2517"/>
      <c r="AM47" s="1623" t="s">
        <v>446</v>
      </c>
      <c r="AO47" s="1990"/>
      <c r="AP47" s="1990" t="str">
        <f>IF(T47="","",T47)</f>
        <v>Схема подключения теплопотребляющей установки к коллектору источника тепловой энергии</v>
      </c>
      <c r="AQ47" s="1990"/>
      <c r="AR47" s="1990"/>
    </row>
    <row customHeight="1" ht="21">
      <c r="A48" s="1633" t="s">
        <v>216</v>
      </c>
      <c r="B48" s="1633" t="s">
        <v>217</v>
      </c>
      <c r="C48" s="1633" t="s">
        <v>218</v>
      </c>
      <c r="D48" s="1633" t="s">
        <v>219</v>
      </c>
      <c r="E48" s="2563"/>
      <c r="F48" s="2563"/>
      <c r="G48" s="2563"/>
      <c r="H48" s="2563"/>
      <c r="I48" s="2376"/>
      <c r="J48" s="2392" t="str">
        <f>I47&amp;".1"</f>
        <v>....1.1</v>
      </c>
      <c r="K48" s="1633"/>
      <c r="L48" s="1676" t="s">
        <v>447</v>
      </c>
      <c r="P48" s="2531"/>
      <c r="Q48" s="2531">
        <v>1</v>
      </c>
      <c r="R48" s="718"/>
      <c r="S48" s="2325" t="str">
        <f>$J48</f>
        <v>....1.1</v>
      </c>
      <c r="T48" s="647" t="s">
        <v>448</v>
      </c>
      <c r="U48" s="661"/>
      <c r="V48" s="2515"/>
      <c r="W48" s="2516"/>
      <c r="X48" s="2516"/>
      <c r="Y48" s="2516"/>
      <c r="Z48" s="2516"/>
      <c r="AA48" s="2516"/>
      <c r="AB48" s="2516"/>
      <c r="AC48" s="2517"/>
      <c r="AD48" s="2515"/>
      <c r="AE48" s="2516"/>
      <c r="AF48" s="2516"/>
      <c r="AG48" s="2516"/>
      <c r="AH48" s="2516"/>
      <c r="AI48" s="2516"/>
      <c r="AJ48" s="2516"/>
      <c r="AK48" s="2516"/>
      <c r="AL48" s="2517"/>
      <c r="AM48" s="1623" t="s">
        <v>449</v>
      </c>
      <c r="AO48" s="1990"/>
      <c r="AP48" s="1990" t="str">
        <f>IF(T48="","",T48)</f>
        <v>Группа потребителей</v>
      </c>
      <c r="AQ48" s="1990"/>
      <c r="AR48" s="1990"/>
    </row>
    <row customHeight="1" ht="21">
      <c r="A49" s="1633" t="s">
        <v>216</v>
      </c>
      <c r="B49" s="1633" t="s">
        <v>217</v>
      </c>
      <c r="C49" s="1633" t="s">
        <v>218</v>
      </c>
      <c r="D49" s="1633" t="s">
        <v>219</v>
      </c>
      <c r="E49" s="2563"/>
      <c r="F49" s="2563"/>
      <c r="G49" s="2563"/>
      <c r="H49" s="2563"/>
      <c r="I49" s="2376"/>
      <c r="J49" s="2376"/>
      <c r="K49" s="2392" t="str">
        <f>J48&amp;".1"</f>
        <v>....1.1.1</v>
      </c>
      <c r="L49" s="1676" t="s">
        <v>450</v>
      </c>
      <c r="P49" s="2531"/>
      <c r="Q49" s="2531"/>
      <c r="R49" s="718">
        <v>1</v>
      </c>
      <c r="S49" s="2325" t="str">
        <f>$K49</f>
        <v>....1.1.1</v>
      </c>
      <c r="T49" s="1713"/>
      <c r="U49" s="661"/>
      <c r="V49" s="1112"/>
      <c r="W49" s="686"/>
      <c r="X49" s="1112"/>
      <c r="Y49" s="1622"/>
      <c r="Z49" s="2532"/>
      <c r="AA49" s="2402" t="s">
        <v>66</v>
      </c>
      <c r="AB49" s="2532"/>
      <c r="AC49" s="2402" t="s">
        <v>66</v>
      </c>
      <c r="AD49" s="1112"/>
      <c r="AE49" s="686"/>
      <c r="AF49" s="1112"/>
      <c r="AG49" s="1622"/>
      <c r="AH49" s="2532"/>
      <c r="AI49" s="2402" t="s">
        <v>66</v>
      </c>
      <c r="AJ49" s="2534"/>
      <c r="AK49" s="2402" t="s">
        <v>66</v>
      </c>
      <c r="AL49" s="1714"/>
      <c r="AM49" s="2557" t="s">
        <v>451</v>
      </c>
      <c r="AN49" s="2002">
        <f>STRCHECKDATE(V50:AL50)</f>
      </c>
      <c r="AO49" s="1990"/>
      <c r="AP49" s="1990" t="str">
        <f>IF(T49="","",T49)</f>
        <v/>
      </c>
      <c r="AQ49" s="1990"/>
      <c r="AR49" s="1990"/>
    </row>
    <row customHeight="1" ht="0.75">
      <c r="A50" s="1633" t="s">
        <v>216</v>
      </c>
      <c r="B50" s="1633" t="s">
        <v>217</v>
      </c>
      <c r="C50" s="1633" t="s">
        <v>218</v>
      </c>
      <c r="D50" s="1633" t="s">
        <v>219</v>
      </c>
      <c r="E50" s="2563"/>
      <c r="F50" s="2563"/>
      <c r="G50" s="2563"/>
      <c r="H50" s="2563"/>
      <c r="I50" s="2376"/>
      <c r="J50" s="2376"/>
      <c r="K50" s="2392"/>
      <c r="L50" s="1676"/>
      <c r="P50" s="2531"/>
      <c r="Q50" s="2531"/>
      <c r="R50" s="718"/>
      <c r="S50" s="2334"/>
      <c r="T50" s="661"/>
      <c r="U50" s="661"/>
      <c r="V50" s="686"/>
      <c r="W50" s="686"/>
      <c r="X50" s="686"/>
      <c r="Y50" s="689" t="str">
        <f>Z49&amp;"-"&amp;AB49</f>
        <v>-</v>
      </c>
      <c r="Z50" s="2533"/>
      <c r="AA50" s="2402"/>
      <c r="AB50" s="2533"/>
      <c r="AC50" s="2402"/>
      <c r="AD50" s="686"/>
      <c r="AE50" s="686"/>
      <c r="AF50" s="686"/>
      <c r="AG50" s="689" t="str">
        <f>AH49&amp;"-"&amp;AJ49</f>
        <v>-</v>
      </c>
      <c r="AH50" s="2533"/>
      <c r="AI50" s="2402"/>
      <c r="AJ50" s="2535"/>
      <c r="AK50" s="2402"/>
      <c r="AL50" s="1715"/>
      <c r="AM50" s="2558"/>
      <c r="AO50" s="1990"/>
      <c r="AP50" s="1990" t="str">
        <f>IF(T50="","",T50)</f>
        <v/>
      </c>
      <c r="AQ50" s="1990"/>
      <c r="AR50" s="1990"/>
    </row>
    <row customHeight="1" ht="11.25">
      <c r="A51" s="1633" t="s">
        <v>216</v>
      </c>
      <c r="B51" s="1633" t="s">
        <v>217</v>
      </c>
      <c r="C51" s="1633" t="s">
        <v>218</v>
      </c>
      <c r="D51" s="1633" t="s">
        <v>219</v>
      </c>
      <c r="E51" s="2563"/>
      <c r="F51" s="2563"/>
      <c r="G51" s="2563"/>
      <c r="H51" s="2563"/>
      <c r="I51" s="2376"/>
      <c r="J51" s="2392"/>
      <c r="K51" s="1633"/>
      <c r="L51" s="1676"/>
      <c r="P51" s="2531"/>
      <c r="Q51" s="2531"/>
      <c r="R51" s="717"/>
      <c r="S51" s="1644"/>
      <c r="T51" s="649" t="s">
        <v>452</v>
      </c>
      <c r="U51" s="961"/>
      <c r="V51" s="961"/>
      <c r="W51" s="961"/>
      <c r="X51" s="961"/>
      <c r="Y51" s="961"/>
      <c r="Z51" s="961"/>
      <c r="AA51" s="961"/>
      <c r="AB51" s="961"/>
      <c r="AC51" s="961"/>
      <c r="AD51" s="961"/>
      <c r="AE51" s="961"/>
      <c r="AF51" s="961"/>
      <c r="AG51" s="961"/>
      <c r="AH51" s="961"/>
      <c r="AI51" s="961"/>
      <c r="AJ51" s="961"/>
      <c r="AK51" s="961"/>
      <c r="AL51" s="685"/>
      <c r="AM51" s="2559"/>
      <c r="AO51" s="1990"/>
      <c r="AP51" s="1990" t="str">
        <f>IF(T51="","",T51)</f>
        <v>Добавить вид теплоносителя (параметры теплоносителя)</v>
      </c>
      <c r="AQ51" s="1990"/>
      <c r="AR51" s="1990"/>
    </row>
    <row customHeight="1" ht="11.25">
      <c r="A52" s="1633" t="s">
        <v>216</v>
      </c>
      <c r="B52" s="1633" t="s">
        <v>217</v>
      </c>
      <c r="C52" s="1633" t="s">
        <v>218</v>
      </c>
      <c r="D52" s="1633" t="s">
        <v>219</v>
      </c>
      <c r="E52" s="2563"/>
      <c r="F52" s="2563"/>
      <c r="G52" s="2563"/>
      <c r="H52" s="2563"/>
      <c r="I52" s="2392"/>
      <c r="J52" s="1633"/>
      <c r="K52" s="1633"/>
      <c r="L52" s="1676"/>
      <c r="P52" s="2531"/>
      <c r="Q52" s="2321"/>
      <c r="R52" s="717"/>
      <c r="S52" s="1644"/>
      <c r="T52" s="648" t="s">
        <v>453</v>
      </c>
      <c r="U52" s="961"/>
      <c r="V52" s="961"/>
      <c r="W52" s="961"/>
      <c r="X52" s="961"/>
      <c r="Y52" s="961"/>
      <c r="Z52" s="961"/>
      <c r="AA52" s="961"/>
      <c r="AB52" s="961"/>
      <c r="AC52" s="727"/>
      <c r="AD52" s="961"/>
      <c r="AE52" s="961"/>
      <c r="AF52" s="961"/>
      <c r="AG52" s="961"/>
      <c r="AH52" s="961"/>
      <c r="AI52" s="961"/>
      <c r="AJ52" s="961"/>
      <c r="AK52" s="727"/>
      <c r="AL52" s="961"/>
      <c r="AM52" s="664"/>
      <c r="AO52" s="1990"/>
      <c r="AP52" s="1990" t="str">
        <f>IF(T52="","",T52)</f>
        <v>Добавить группу потребителей</v>
      </c>
      <c r="AQ52" s="1990"/>
      <c r="AR52" s="1990"/>
    </row>
    <row customHeight="1" ht="14.25">
      <c r="A53" s="1633" t="s">
        <v>216</v>
      </c>
      <c r="B53" s="1633" t="s">
        <v>217</v>
      </c>
      <c r="C53" s="1633" t="s">
        <v>218</v>
      </c>
      <c r="D53" s="1633" t="s">
        <v>219</v>
      </c>
      <c r="E53" s="2563"/>
      <c r="F53" s="2563"/>
      <c r="G53" s="2563"/>
      <c r="H53" s="2562"/>
      <c r="I53" s="1633"/>
      <c r="J53" s="1633"/>
      <c r="K53" s="1633"/>
      <c r="L53" s="1676"/>
      <c r="M53" s="1976"/>
      <c r="N53" s="1976"/>
      <c r="O53" s="2001"/>
      <c r="P53" s="721"/>
      <c r="Q53" s="736"/>
      <c r="R53" s="716"/>
      <c r="S53" s="1644"/>
      <c r="T53" s="726" t="s">
        <v>454</v>
      </c>
      <c r="U53" s="961"/>
      <c r="V53" s="961"/>
      <c r="W53" s="961"/>
      <c r="X53" s="961"/>
      <c r="Y53" s="961"/>
      <c r="Z53" s="961"/>
      <c r="AA53" s="961"/>
      <c r="AB53" s="961"/>
      <c r="AC53" s="727"/>
      <c r="AD53" s="961"/>
      <c r="AE53" s="961"/>
      <c r="AF53" s="961"/>
      <c r="AG53" s="961"/>
      <c r="AH53" s="961"/>
      <c r="AI53" s="961"/>
      <c r="AJ53" s="961"/>
      <c r="AK53" s="727"/>
      <c r="AL53" s="961"/>
      <c r="AM53" s="664"/>
      <c r="AO53" s="1990"/>
      <c r="AP53" s="1990" t="str">
        <f>IF(T53="","",T53)</f>
        <v>Добавить схему подключения</v>
      </c>
      <c r="AQ53" s="1990"/>
      <c r="AR53" s="1990"/>
    </row>
    <row s="32321" customFormat="1" customHeight="1" ht="0.75">
      <c r="A54" s="1633" t="s">
        <v>216</v>
      </c>
      <c r="B54" s="1633" t="s">
        <v>217</v>
      </c>
      <c r="C54" s="1633" t="s">
        <v>218</v>
      </c>
      <c r="D54" s="2342"/>
      <c r="E54" s="2563"/>
      <c r="F54" s="2563"/>
      <c r="G54" s="2562"/>
      <c r="H54" s="2342"/>
      <c r="I54" s="2342"/>
      <c r="J54" s="2342"/>
      <c r="K54" s="2342"/>
      <c r="L54" s="1746"/>
      <c r="M54" s="1976"/>
      <c r="N54" s="1976"/>
      <c r="O54" s="2001"/>
      <c r="P54" s="1682"/>
      <c r="Q54" s="1683"/>
      <c r="R54" s="1682"/>
      <c r="S54" s="1688"/>
      <c r="T54" s="1691" t="s">
        <v>455</v>
      </c>
      <c r="U54" s="1690"/>
      <c r="V54" s="1690"/>
      <c r="W54" s="1690"/>
      <c r="X54" s="1690"/>
      <c r="Y54" s="1690"/>
      <c r="Z54" s="1690"/>
      <c r="AA54" s="1690"/>
      <c r="AB54" s="1690"/>
      <c r="AC54" s="1690"/>
      <c r="AD54" s="1690"/>
      <c r="AE54" s="1690"/>
      <c r="AF54" s="1690"/>
      <c r="AG54" s="1690"/>
      <c r="AH54" s="1690"/>
      <c r="AI54" s="1690"/>
      <c r="AJ54" s="1690"/>
      <c r="AK54" s="1690"/>
      <c r="AL54" s="1690"/>
      <c r="AM54" s="1690"/>
      <c r="AO54" s="1616"/>
      <c r="AP54" s="1616" t="str">
        <f>IF(T54="","",T54)</f>
        <v>Добавить источник для дифференциации</v>
      </c>
      <c r="AQ54" s="1616"/>
      <c r="AR54" s="1616"/>
    </row>
    <row s="32321" customFormat="1" customHeight="1" ht="0.75">
      <c r="A55" s="1633" t="s">
        <v>216</v>
      </c>
      <c r="B55" s="1633" t="s">
        <v>217</v>
      </c>
      <c r="C55" s="2342"/>
      <c r="D55" s="2342"/>
      <c r="E55" s="2563"/>
      <c r="F55" s="2562"/>
      <c r="G55" s="2342"/>
      <c r="H55" s="2342"/>
      <c r="I55" s="2342"/>
      <c r="J55" s="2342"/>
      <c r="K55" s="2342"/>
      <c r="L55" s="1746"/>
      <c r="M55" s="2343"/>
      <c r="N55" s="2343"/>
      <c r="O55" s="2001"/>
      <c r="P55" s="1682"/>
      <c r="Q55" s="1683"/>
      <c r="R55" s="1682"/>
      <c r="S55" s="1688"/>
      <c r="T55" s="1691" t="s">
        <v>262</v>
      </c>
      <c r="U55" s="1690"/>
      <c r="V55" s="1690"/>
      <c r="W55" s="1690"/>
      <c r="X55" s="1690"/>
      <c r="Y55" s="1690"/>
      <c r="Z55" s="1690"/>
      <c r="AA55" s="1690"/>
      <c r="AB55" s="1690"/>
      <c r="AC55" s="1690"/>
      <c r="AD55" s="1690"/>
      <c r="AE55" s="1690"/>
      <c r="AF55" s="1690"/>
      <c r="AG55" s="1690"/>
      <c r="AH55" s="1690"/>
      <c r="AI55" s="1690"/>
      <c r="AJ55" s="1690"/>
      <c r="AK55" s="1690"/>
      <c r="AL55" s="1690"/>
      <c r="AM55" s="1690"/>
      <c r="AO55" s="1616"/>
      <c r="AP55" s="1616" t="str">
        <f>IF(T55="","",T55)</f>
        <v>Добавить централизованную систему для дифференциации</v>
      </c>
      <c r="AQ55" s="1616"/>
      <c r="AR55" s="1616"/>
    </row>
    <row s="32341" customFormat="1" customHeight="1" ht="0.75">
      <c r="A56" s="1633" t="s">
        <v>216</v>
      </c>
      <c r="B56" s="1633"/>
      <c r="C56" s="1633"/>
      <c r="D56" s="1633"/>
      <c r="E56" s="2562"/>
      <c r="F56" s="1633"/>
      <c r="G56" s="1633"/>
      <c r="H56" s="1633"/>
      <c r="I56" s="1633"/>
      <c r="J56" s="1633"/>
      <c r="K56" s="1633"/>
      <c r="L56" s="1676"/>
      <c r="M56" s="2343"/>
      <c r="N56" s="2343"/>
      <c r="O56" s="2001"/>
      <c r="P56" s="741"/>
      <c r="Q56" s="1710"/>
      <c r="R56" s="741"/>
      <c r="S56" s="1688"/>
      <c r="T56" s="1691" t="s">
        <v>270</v>
      </c>
      <c r="U56" s="1690"/>
      <c r="V56" s="1690"/>
      <c r="W56" s="1690"/>
      <c r="X56" s="1690"/>
      <c r="Y56" s="1690"/>
      <c r="Z56" s="1690"/>
      <c r="AA56" s="1690"/>
      <c r="AB56" s="1690"/>
      <c r="AC56" s="1690"/>
      <c r="AD56" s="1690"/>
      <c r="AE56" s="1690"/>
      <c r="AF56" s="1690"/>
      <c r="AG56" s="1690"/>
      <c r="AH56" s="1690"/>
      <c r="AI56" s="1690"/>
      <c r="AJ56" s="1690"/>
      <c r="AK56" s="1690"/>
      <c r="AL56" s="1690"/>
      <c r="AM56" s="1690"/>
      <c r="AO56" s="1990"/>
      <c r="AP56" s="1990" t="str">
        <f>IF(T56="","",T56)</f>
        <v>Добавить территорию для дифференциации</v>
      </c>
      <c r="AQ56" s="1990"/>
      <c r="AR56" s="1990"/>
    </row>
    <row s="32321" customFormat="1" customHeight="1" ht="0.75">
      <c r="A57" s="2342"/>
      <c r="B57" s="2342"/>
      <c r="C57" s="2342"/>
      <c r="D57" s="2342"/>
      <c r="E57" s="1633"/>
      <c r="F57" s="2342"/>
      <c r="G57" s="2342"/>
      <c r="H57" s="2342"/>
      <c r="I57" s="2342"/>
      <c r="J57" s="2342"/>
      <c r="K57" s="2342"/>
      <c r="L57" s="1746"/>
      <c r="M57" s="2343"/>
      <c r="N57" s="2343"/>
      <c r="O57" s="2001"/>
      <c r="P57" s="1682"/>
      <c r="Q57" s="1683"/>
      <c r="R57" s="1682"/>
      <c r="S57" s="1688"/>
      <c r="T57" s="1691" t="s">
        <v>294</v>
      </c>
      <c r="U57" s="1690"/>
      <c r="V57" s="1690"/>
      <c r="W57" s="1690"/>
      <c r="X57" s="1690"/>
      <c r="Y57" s="1690"/>
      <c r="Z57" s="1690"/>
      <c r="AA57" s="1690"/>
      <c r="AB57" s="1690"/>
      <c r="AC57" s="1690"/>
      <c r="AD57" s="1690"/>
      <c r="AE57" s="1690"/>
      <c r="AF57" s="1690"/>
      <c r="AG57" s="1690"/>
      <c r="AH57" s="1690"/>
      <c r="AI57" s="1690"/>
      <c r="AJ57" s="1690"/>
      <c r="AK57" s="1690"/>
      <c r="AL57" s="1690"/>
      <c r="AM57" s="1690"/>
      <c r="AO57" s="1616"/>
      <c r="AP57" s="1616" t="str">
        <f>IF(T57="","",T57)</f>
        <v>Добавить наименование тарифа</v>
      </c>
      <c r="AQ57" s="1616"/>
      <c r="AR57" s="1616"/>
    </row>
    <row customHeight="1" ht="11.25">
      <c r="M58" s="1997"/>
      <c r="N58" s="1997"/>
      <c r="O58" s="2001"/>
      <c r="P58" s="1997"/>
      <c r="Q58" s="1997"/>
      <c r="R58" s="1997"/>
      <c r="S58" s="1997"/>
      <c r="AN58" s="1997"/>
      <c r="AO58" s="1997"/>
      <c r="AP58" s="1997"/>
      <c r="AQ58" s="1997"/>
      <c r="AR58" s="1997"/>
    </row>
    <row customHeight="1" ht="27">
      <c r="O59" s="2001"/>
      <c r="S59" s="1618"/>
      <c r="T59" s="2526"/>
      <c r="U59" s="2526"/>
      <c r="V59" s="2526"/>
      <c r="W59" s="2526"/>
      <c r="X59" s="2526"/>
      <c r="Y59" s="2526"/>
      <c r="Z59" s="2526"/>
      <c r="AA59" s="2526"/>
      <c r="AB59" s="2526"/>
      <c r="AC59" s="2526"/>
      <c r="AD59" s="2526"/>
      <c r="AE59" s="2526"/>
      <c r="AF59" s="2526"/>
      <c r="AG59" s="2526"/>
      <c r="AH59" s="2526"/>
      <c r="AI59" s="2526"/>
      <c r="AJ59" s="2526"/>
      <c r="AK59" s="2526"/>
      <c r="AL59" s="2526"/>
      <c r="AM59" s="2526"/>
    </row>
    <row customHeight="1" ht="62.25">
      <c r="O60" s="2001"/>
      <c r="T60" s="2526"/>
      <c r="U60" s="2526"/>
      <c r="V60" s="2526"/>
      <c r="W60" s="2526"/>
      <c r="X60" s="2526"/>
      <c r="Y60" s="2526"/>
      <c r="Z60" s="2526"/>
      <c r="AA60" s="2526"/>
      <c r="AB60" s="2526"/>
      <c r="AC60" s="2526"/>
      <c r="AD60" s="2526"/>
      <c r="AE60" s="2526"/>
      <c r="AF60" s="2526"/>
      <c r="AG60" s="2526"/>
      <c r="AH60" s="2526"/>
      <c r="AI60" s="2526"/>
      <c r="AJ60" s="2526"/>
      <c r="AK60" s="2526"/>
      <c r="AL60" s="2526"/>
      <c r="AM60" s="2526"/>
    </row>
    <row customHeight="1" ht="14.25">
      <c r="O61" s="2001"/>
    </row>
    <row customHeight="1" ht="18">
      <c r="O62" s="2001"/>
      <c r="S62" s="1618"/>
      <c r="T62" s="2526"/>
      <c r="U62" s="2526"/>
      <c r="V62" s="2526"/>
      <c r="W62" s="2526"/>
      <c r="X62" s="2526"/>
      <c r="Y62" s="2526"/>
      <c r="Z62" s="2526"/>
      <c r="AA62" s="2526"/>
      <c r="AB62" s="2526"/>
      <c r="AC62" s="2526"/>
      <c r="AD62" s="2526"/>
      <c r="AE62" s="2526"/>
      <c r="AF62" s="2526"/>
      <c r="AG62" s="2526"/>
      <c r="AH62" s="2526"/>
      <c r="AI62" s="2526"/>
      <c r="AJ62" s="2526"/>
      <c r="AK62" s="2526"/>
      <c r="AL62" s="2526"/>
      <c r="AM62" s="2526"/>
    </row>
    <row customHeight="1" ht="18">
      <c r="O63" s="2001"/>
      <c r="T63" s="2526"/>
      <c r="U63" s="2526"/>
      <c r="V63" s="2526"/>
      <c r="W63" s="2526"/>
      <c r="X63" s="2526"/>
      <c r="Y63" s="2526"/>
      <c r="Z63" s="2526"/>
      <c r="AA63" s="2526"/>
      <c r="AB63" s="2526"/>
      <c r="AC63" s="2526"/>
      <c r="AD63" s="2526"/>
      <c r="AE63" s="2526"/>
      <c r="AF63" s="2526"/>
      <c r="AG63" s="2526"/>
      <c r="AH63" s="2526"/>
      <c r="AI63" s="2526"/>
      <c r="AJ63" s="2526"/>
      <c r="AK63" s="2526"/>
      <c r="AL63" s="2526"/>
      <c r="AM63" s="2526"/>
    </row>
    <row customHeight="1" ht="27.75">
      <c r="O64" s="2001"/>
      <c r="S64" s="1618"/>
      <c r="T64" s="2526"/>
      <c r="U64" s="2526"/>
      <c r="V64" s="2526"/>
      <c r="W64" s="2526"/>
      <c r="X64" s="2526"/>
      <c r="Y64" s="2526"/>
      <c r="Z64" s="2526"/>
      <c r="AA64" s="2526"/>
      <c r="AB64" s="2526"/>
      <c r="AC64" s="2526"/>
      <c r="AD64" s="2526"/>
      <c r="AE64" s="2526"/>
      <c r="AF64" s="2526"/>
      <c r="AG64" s="2526"/>
      <c r="AH64" s="2526"/>
      <c r="AI64" s="2526"/>
      <c r="AJ64" s="2526"/>
      <c r="AK64" s="2526"/>
      <c r="AL64" s="2526"/>
      <c r="AM64" s="2526"/>
    </row>
  </sheetData>
  <sheetProtection sort="0" autoFilter="0" insertRows="0" insertColumns="1" deleteRows="0" deleteColumns="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960CE-3D4B-8E2F-A71E-8E4BEA9FC747}"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217" width="10.57421875" hidden="1"/>
    <col min="2" max="2" style="32217" width="11.00390625" hidden="1" customWidth="1"/>
    <col min="3" max="3" style="32217" width="10.57421875" hidden="1"/>
    <col min="4" max="4" style="32217" width="11.8515625" hidden="1" customWidth="1"/>
    <col min="5" max="5" style="32217" width="10.00390625" hidden="1" customWidth="1"/>
    <col min="6" max="6" style="32217" width="8.7109375" hidden="1" customWidth="1"/>
    <col min="7" max="7" style="32217" width="7.57421875" hidden="1" customWidth="1"/>
    <col min="8" max="8" style="32217" width="11.421875" hidden="1" customWidth="1"/>
    <col min="9" max="9" style="32217" width="12.00390625" hidden="1" customWidth="1"/>
    <col min="10" max="10" style="32217" width="9.8515625" hidden="1" customWidth="1"/>
    <col min="11" max="11" style="32217" width="11.421875" hidden="1" customWidth="1"/>
    <col min="12" max="12" style="32297" width="19.140625" hidden="1" customWidth="1"/>
    <col min="13" max="14" style="32298" width="12.28125" hidden="1" customWidth="1"/>
    <col min="15" max="15" style="32298" width="23.421875" hidden="1" customWidth="1"/>
    <col min="16" max="16" style="32310" width="3.7109375" customWidth="1"/>
    <col min="17" max="18" style="32300" width="3.7109375" customWidth="1"/>
    <col min="19" max="19" style="32301" width="12.7109375" customWidth="1"/>
    <col min="20" max="20" style="32302" width="32.00390625" customWidth="1"/>
    <col min="21" max="21" style="32302" width="0.7109375" hidden="1" customWidth="1"/>
    <col min="22" max="22" style="32302" width="1.7109375" hidden="1" customWidth="1"/>
    <col min="23" max="23" style="32302" width="24.7109375" hidden="1" customWidth="1"/>
    <col min="24" max="25" style="32302" width="0.140625" hidden="1" customWidth="1"/>
    <col min="26" max="26" style="32302" width="11.7109375" hidden="1" customWidth="1"/>
    <col min="27" max="27" style="32302" width="3.7109375" hidden="1" customWidth="1"/>
    <col min="28" max="28" style="32302" width="11.7109375" hidden="1" customWidth="1"/>
    <col min="29" max="29" style="32302" width="8.57421875" hidden="1" customWidth="1"/>
    <col min="30" max="30" style="32302" width="0.140625" customWidth="1"/>
    <col min="31" max="31" style="32302" width="24.7109375" customWidth="1"/>
    <col min="32" max="33" style="32302" width="0.140625" customWidth="1"/>
    <col min="34" max="34" style="32302" width="11.7109375" customWidth="1"/>
    <col min="35" max="35" style="32302" width="3.7109375" customWidth="1"/>
    <col min="36" max="36" style="32302" width="11.7109375" customWidth="1"/>
    <col min="37" max="37" style="32302" width="8.57421875" hidden="1" customWidth="1"/>
    <col min="38" max="38" style="32302" width="4.7109375" customWidth="1"/>
    <col min="39" max="39" style="32302" width="115.7109375" customWidth="1"/>
    <col min="40" max="41" style="32289" width="10.57421875"/>
    <col min="42" max="42" style="32289" width="11.140625" customWidth="1"/>
    <col min="43" max="44" style="32289" width="10.57421875"/>
  </cols>
  <sheetData>
    <row customHeight="1" ht="14.25" hidden="1">
      <c r="Y1" s="688"/>
      <c r="Z1" s="688"/>
      <c r="AG1" s="688"/>
      <c r="AH1" s="688"/>
    </row>
    <row customHeight="1" ht="21" hidden="1">
      <c r="A2" s="1729"/>
      <c r="B2" s="1729"/>
      <c r="C2" s="1729"/>
      <c r="D2" s="1729"/>
      <c r="E2" s="2527">
        <v>1</v>
      </c>
      <c r="F2" s="1729"/>
      <c r="G2" s="1729"/>
      <c r="H2" s="1729"/>
      <c r="I2" s="1729"/>
      <c r="J2" s="1729"/>
      <c r="K2" s="1729"/>
      <c r="L2" s="1730"/>
      <c r="M2" s="1731"/>
      <c r="N2" s="1731"/>
      <c r="O2" s="1731"/>
      <c r="P2" s="722"/>
      <c r="Q2" s="721"/>
      <c r="R2" s="716"/>
      <c r="S2" s="1702">
        <f>INDEX(PT_DIFFERENTIATION_NUM_NTAR,MATCH(A2,PT_DIFFERENTIATION_NTAR_ID,0))</f>
      </c>
      <c r="T2" s="659" t="s">
        <v>131</v>
      </c>
      <c r="U2" s="661"/>
      <c r="V2" s="2521"/>
      <c r="W2" s="2522"/>
      <c r="X2" s="2522"/>
      <c r="Y2" s="2522"/>
      <c r="Z2" s="2522"/>
      <c r="AA2" s="2522"/>
      <c r="AB2" s="2522"/>
      <c r="AC2" s="2523"/>
      <c r="AD2" s="2521">
        <f>INDEX(PT_DIFFERENTIATION_NTAR,MATCH(A2,PT_DIFFERENTIATION_NTAR_ID,0))</f>
      </c>
      <c r="AE2" s="2522"/>
      <c r="AF2" s="2522"/>
      <c r="AG2" s="2522"/>
      <c r="AH2" s="2522"/>
      <c r="AI2" s="2522"/>
      <c r="AJ2" s="2522"/>
      <c r="AK2" s="2522"/>
      <c r="AL2" s="2523"/>
      <c r="AM2" s="1623" t="s">
        <v>437</v>
      </c>
      <c r="AO2" s="861"/>
      <c r="AP2" s="861" t="str">
        <f>IF(T2="","",T2)</f>
        <v>Наименование тарифа</v>
      </c>
      <c r="AQ2" s="861"/>
      <c r="AR2" s="861"/>
    </row>
    <row customHeight="1" ht="21" hidden="1">
      <c r="A3" s="1729"/>
      <c r="B3" s="1729"/>
      <c r="C3" s="1729"/>
      <c r="D3" s="1729"/>
      <c r="E3" s="2528"/>
      <c r="F3" s="2527">
        <v>1</v>
      </c>
      <c r="G3" s="1729"/>
      <c r="H3" s="1729"/>
      <c r="I3" s="1729"/>
      <c r="J3" s="1729"/>
      <c r="K3" s="1729"/>
      <c r="L3" s="1730"/>
      <c r="M3" s="1731"/>
      <c r="N3" s="1731"/>
      <c r="O3" s="1731"/>
      <c r="P3" s="1698"/>
      <c r="Q3" s="713"/>
      <c r="R3" s="714"/>
      <c r="S3" s="1702">
        <f>INDEX(PT_DIFFERENTIATION_NUM_TER,MATCH(B3,PT_DIFFERENTIATION_TER_ID,0))</f>
      </c>
      <c r="T3" s="669" t="s">
        <v>438</v>
      </c>
      <c r="U3" s="661"/>
      <c r="V3" s="2521"/>
      <c r="W3" s="2522"/>
      <c r="X3" s="2522"/>
      <c r="Y3" s="2522"/>
      <c r="Z3" s="2522"/>
      <c r="AA3" s="2522"/>
      <c r="AB3" s="2522"/>
      <c r="AC3" s="2523"/>
      <c r="AD3" s="2521">
        <f>INDEX(PT_DIFFERENTIATION_TER,MATCH(B3,PT_DIFFERENTIATION_TER_ID,0))</f>
      </c>
      <c r="AE3" s="2522"/>
      <c r="AF3" s="2522"/>
      <c r="AG3" s="2522"/>
      <c r="AH3" s="2522"/>
      <c r="AI3" s="2522"/>
      <c r="AJ3" s="2522"/>
      <c r="AK3" s="2522"/>
      <c r="AL3" s="2523"/>
      <c r="AM3" s="1623" t="s">
        <v>439</v>
      </c>
      <c r="AO3" s="861"/>
      <c r="AP3" s="861" t="str">
        <f>IF(T3="","",T3)</f>
        <v>Территория действия тарифа</v>
      </c>
      <c r="AQ3" s="861"/>
      <c r="AR3" s="861"/>
    </row>
    <row customHeight="1" ht="23.25" hidden="1">
      <c r="A4" s="1729"/>
      <c r="B4" s="1729"/>
      <c r="C4" s="1729"/>
      <c r="D4" s="1729"/>
      <c r="E4" s="2528"/>
      <c r="F4" s="2528"/>
      <c r="G4" s="2527">
        <v>1</v>
      </c>
      <c r="H4" s="1729"/>
      <c r="I4" s="1729"/>
      <c r="J4" s="1729"/>
      <c r="K4" s="1729"/>
      <c r="L4" s="1730"/>
      <c r="M4" s="1731"/>
      <c r="N4" s="1731"/>
      <c r="O4" s="1731"/>
      <c r="P4" s="715"/>
      <c r="Q4" s="713"/>
      <c r="R4" s="714"/>
      <c r="S4" s="1702">
        <f>INDEX(PT_DIFFERENTIATION_NUM_CS,MATCH(C4,PT_DIFFERENTIATION_CS_ID,0))</f>
      </c>
      <c r="T4" s="670" t="s">
        <v>440</v>
      </c>
      <c r="U4" s="661"/>
      <c r="V4" s="2521"/>
      <c r="W4" s="2522"/>
      <c r="X4" s="2522"/>
      <c r="Y4" s="2522"/>
      <c r="Z4" s="2522"/>
      <c r="AA4" s="2522"/>
      <c r="AB4" s="2522"/>
      <c r="AC4" s="2523"/>
      <c r="AD4" s="2521">
        <f>INDEX(PT_DIFFERENTIATION_CS,MATCH(C4,PT_DIFFERENTIATION_CS_ID,0))</f>
      </c>
      <c r="AE4" s="2522"/>
      <c r="AF4" s="2522"/>
      <c r="AG4" s="2522"/>
      <c r="AH4" s="2522"/>
      <c r="AI4" s="2522"/>
      <c r="AJ4" s="2522"/>
      <c r="AK4" s="2522"/>
      <c r="AL4" s="2523"/>
      <c r="AM4" s="1623" t="s">
        <v>441</v>
      </c>
      <c r="AO4" s="861"/>
      <c r="AP4" s="861" t="str">
        <f>IF(T4="","",T4)</f>
        <v>Наименование системы теплоснабжения </v>
      </c>
      <c r="AQ4" s="861"/>
      <c r="AR4" s="861"/>
    </row>
    <row customHeight="1" ht="21" hidden="1">
      <c r="A5" s="1729"/>
      <c r="B5" s="1729"/>
      <c r="C5" s="1729"/>
      <c r="D5" s="1729"/>
      <c r="E5" s="2528"/>
      <c r="F5" s="2528"/>
      <c r="G5" s="2528"/>
      <c r="H5" s="2527">
        <v>1</v>
      </c>
      <c r="I5" s="1729"/>
      <c r="J5" s="1729"/>
      <c r="K5" s="1729"/>
      <c r="L5" s="1730"/>
      <c r="M5" s="1731"/>
      <c r="N5" s="1731"/>
      <c r="O5" s="1731"/>
      <c r="P5" s="715"/>
      <c r="Q5" s="713"/>
      <c r="R5" s="714"/>
      <c r="S5" s="1702">
        <f>INDEX(PT_DIFFERENTIATION_NUM_IST_TE,MATCH(D5,PT_DIFFERENTIATION_IST_TE_ID,0))</f>
      </c>
      <c r="T5" s="671" t="s">
        <v>442</v>
      </c>
      <c r="U5" s="661"/>
      <c r="V5" s="2521"/>
      <c r="W5" s="2522"/>
      <c r="X5" s="2522"/>
      <c r="Y5" s="2522"/>
      <c r="Z5" s="2522"/>
      <c r="AA5" s="2522"/>
      <c r="AB5" s="2522"/>
      <c r="AC5" s="2523"/>
      <c r="AD5" s="2521">
        <f>INDEX(PT_DIFFERENTIATION_IST_TE,MATCH(D5,PT_DIFFERENTIATION_IST_TE_ID,0))</f>
      </c>
      <c r="AE5" s="2522"/>
      <c r="AF5" s="2522"/>
      <c r="AG5" s="2522"/>
      <c r="AH5" s="2522"/>
      <c r="AI5" s="2522"/>
      <c r="AJ5" s="2522"/>
      <c r="AK5" s="2522"/>
      <c r="AL5" s="2523"/>
      <c r="AM5" s="1623" t="s">
        <v>443</v>
      </c>
      <c r="AO5" s="861"/>
      <c r="AP5" s="861" t="str">
        <f>IF(T5="","",T5)</f>
        <v>Источник тепловой энергии  </v>
      </c>
      <c r="AQ5" s="861"/>
      <c r="AR5" s="861"/>
    </row>
    <row customHeight="1" ht="47.25" hidden="1">
      <c r="A6" s="1729"/>
      <c r="B6" s="1729"/>
      <c r="C6" s="1729"/>
      <c r="D6" s="1729"/>
      <c r="E6" s="2528"/>
      <c r="F6" s="2528"/>
      <c r="G6" s="2528"/>
      <c r="H6" s="2528"/>
      <c r="I6" s="2529">
        <f>S5&amp;".1"</f>
      </c>
      <c r="J6" s="1729"/>
      <c r="K6" s="1729"/>
      <c r="L6" s="1730" t="s">
        <v>444</v>
      </c>
      <c r="M6" s="898"/>
      <c r="P6" s="2531">
        <v>1</v>
      </c>
      <c r="Q6" s="1697"/>
      <c r="R6" s="717"/>
      <c r="S6" s="1702">
        <f>$I6</f>
      </c>
      <c r="T6" s="646" t="s">
        <v>445</v>
      </c>
      <c r="U6" s="661"/>
      <c r="V6" s="2515"/>
      <c r="W6" s="2516"/>
      <c r="X6" s="2516"/>
      <c r="Y6" s="2516"/>
      <c r="Z6" s="2516"/>
      <c r="AA6" s="2516"/>
      <c r="AB6" s="2516"/>
      <c r="AC6" s="2517"/>
      <c r="AD6" s="2515"/>
      <c r="AE6" s="2516"/>
      <c r="AF6" s="2516"/>
      <c r="AG6" s="2516"/>
      <c r="AH6" s="2516"/>
      <c r="AI6" s="2516"/>
      <c r="AJ6" s="2516"/>
      <c r="AK6" s="2516"/>
      <c r="AL6" s="2517"/>
      <c r="AM6" s="1623" t="s">
        <v>446</v>
      </c>
      <c r="AO6" s="861"/>
      <c r="AP6" s="861" t="str">
        <f>IF(T6="","",T6)</f>
        <v>Схема подключения теплопотребляющей установки к коллектору источника тепловой энергии</v>
      </c>
      <c r="AQ6" s="861"/>
      <c r="AR6" s="861"/>
    </row>
    <row customHeight="1" ht="21" hidden="1">
      <c r="A7" s="1729"/>
      <c r="B7" s="1729"/>
      <c r="C7" s="1729"/>
      <c r="D7" s="1729"/>
      <c r="E7" s="2528"/>
      <c r="F7" s="2528"/>
      <c r="G7" s="2528"/>
      <c r="H7" s="2528"/>
      <c r="I7" s="2530"/>
      <c r="J7" s="2529">
        <f>I6&amp;".1"</f>
      </c>
      <c r="K7" s="1729"/>
      <c r="L7" s="1730" t="s">
        <v>447</v>
      </c>
      <c r="M7" s="898"/>
      <c r="N7" s="1732"/>
      <c r="P7" s="2531"/>
      <c r="Q7" s="2531">
        <v>1</v>
      </c>
      <c r="R7" s="718"/>
      <c r="S7" s="1702">
        <f>$J7</f>
      </c>
      <c r="T7" s="647" t="s">
        <v>448</v>
      </c>
      <c r="U7" s="661"/>
      <c r="V7" s="2515"/>
      <c r="W7" s="2516"/>
      <c r="X7" s="2516"/>
      <c r="Y7" s="2516"/>
      <c r="Z7" s="2516"/>
      <c r="AA7" s="2516"/>
      <c r="AB7" s="2516"/>
      <c r="AC7" s="2517"/>
      <c r="AD7" s="2515"/>
      <c r="AE7" s="2516"/>
      <c r="AF7" s="2516"/>
      <c r="AG7" s="2516"/>
      <c r="AH7" s="2516"/>
      <c r="AI7" s="2516"/>
      <c r="AJ7" s="2516"/>
      <c r="AK7" s="2516"/>
      <c r="AL7" s="2517"/>
      <c r="AM7" s="1623" t="s">
        <v>449</v>
      </c>
      <c r="AO7" s="861"/>
      <c r="AP7" s="861" t="str">
        <f>IF(T7="","",T7)</f>
        <v>Группа потребителей</v>
      </c>
      <c r="AQ7" s="861"/>
      <c r="AR7" s="861"/>
    </row>
    <row customHeight="1" ht="21" hidden="1">
      <c r="A8" s="1729"/>
      <c r="B8" s="1729"/>
      <c r="C8" s="1729"/>
      <c r="D8" s="1729"/>
      <c r="E8" s="2528"/>
      <c r="F8" s="2528"/>
      <c r="G8" s="2528"/>
      <c r="H8" s="2528"/>
      <c r="I8" s="2530"/>
      <c r="J8" s="2530"/>
      <c r="K8" s="2529">
        <f>J7&amp;".1"</f>
      </c>
      <c r="L8" s="1730" t="s">
        <v>450</v>
      </c>
      <c r="M8" s="898"/>
      <c r="N8" s="1732"/>
      <c r="O8" s="1732"/>
      <c r="P8" s="2531"/>
      <c r="Q8" s="2531"/>
      <c r="R8" s="718">
        <v>1</v>
      </c>
      <c r="S8" s="1702">
        <f>$K8</f>
      </c>
      <c r="T8" s="1713"/>
      <c r="U8" s="661"/>
      <c r="V8" s="686"/>
      <c r="W8" s="1112"/>
      <c r="X8" s="686"/>
      <c r="Y8" s="745"/>
      <c r="Z8" s="2532"/>
      <c r="AA8" s="2402" t="s">
        <v>66</v>
      </c>
      <c r="AB8" s="2532"/>
      <c r="AC8" s="2402" t="s">
        <v>66</v>
      </c>
      <c r="AD8" s="686"/>
      <c r="AE8" s="1112"/>
      <c r="AF8" s="686"/>
      <c r="AG8" s="745"/>
      <c r="AH8" s="2532"/>
      <c r="AI8" s="2402" t="s">
        <v>66</v>
      </c>
      <c r="AJ8" s="2532"/>
      <c r="AK8" s="2402" t="s">
        <v>66</v>
      </c>
      <c r="AL8" s="686"/>
      <c r="AM8" s="2557" t="s">
        <v>451</v>
      </c>
      <c r="AN8" s="872">
        <f>STRCHECKDATE(V9:AL9)</f>
      </c>
      <c r="AO8" s="861"/>
      <c r="AP8" s="861" t="str">
        <f>IF(T8="","",T8)</f>
        <v/>
      </c>
      <c r="AQ8" s="861"/>
      <c r="AR8" s="861"/>
    </row>
    <row customHeight="1" ht="0.75" hidden="1">
      <c r="A9" s="1729"/>
      <c r="B9" s="1729"/>
      <c r="C9" s="1729"/>
      <c r="D9" s="1729"/>
      <c r="E9" s="2528"/>
      <c r="F9" s="2528"/>
      <c r="G9" s="2528"/>
      <c r="H9" s="2528"/>
      <c r="I9" s="2530"/>
      <c r="J9" s="2530"/>
      <c r="K9" s="2529"/>
      <c r="L9" s="1730"/>
      <c r="M9" s="898"/>
      <c r="N9" s="1732"/>
      <c r="O9" s="1732"/>
      <c r="P9" s="2531"/>
      <c r="Q9" s="2531"/>
      <c r="R9" s="718"/>
      <c r="S9" s="1708"/>
      <c r="T9" s="661"/>
      <c r="U9" s="661"/>
      <c r="V9" s="686"/>
      <c r="W9" s="686"/>
      <c r="X9" s="686"/>
      <c r="Y9" s="689" t="str">
        <f>Z8&amp;"-"&amp;AB8</f>
        <v>-</v>
      </c>
      <c r="Z9" s="2533"/>
      <c r="AA9" s="2402"/>
      <c r="AB9" s="2533"/>
      <c r="AC9" s="2402"/>
      <c r="AD9" s="686"/>
      <c r="AE9" s="686"/>
      <c r="AF9" s="686"/>
      <c r="AG9" s="689" t="str">
        <f>AH8&amp;"-"&amp;AJ8</f>
        <v>-</v>
      </c>
      <c r="AH9" s="2533"/>
      <c r="AI9" s="2402"/>
      <c r="AJ9" s="2533"/>
      <c r="AK9" s="2402"/>
      <c r="AL9" s="686"/>
      <c r="AM9" s="2558"/>
      <c r="AO9" s="861"/>
      <c r="AP9" s="861" t="str">
        <f>IF(T9="","",T9)</f>
        <v/>
      </c>
      <c r="AQ9" s="861"/>
      <c r="AR9" s="861"/>
    </row>
    <row customHeight="1" ht="15" hidden="1">
      <c r="A10" s="1729"/>
      <c r="B10" s="1729"/>
      <c r="C10" s="1729"/>
      <c r="D10" s="1729"/>
      <c r="E10" s="2528"/>
      <c r="F10" s="2528"/>
      <c r="G10" s="2528"/>
      <c r="H10" s="2528"/>
      <c r="I10" s="2530"/>
      <c r="J10" s="2529"/>
      <c r="K10" s="1729"/>
      <c r="L10" s="1730"/>
      <c r="M10" s="898"/>
      <c r="N10" s="1732"/>
      <c r="P10" s="2531"/>
      <c r="Q10" s="2531"/>
      <c r="R10" s="717"/>
      <c r="S10" s="1644"/>
      <c r="T10" s="649" t="s">
        <v>452</v>
      </c>
      <c r="U10" s="728"/>
      <c r="V10" s="728"/>
      <c r="W10" s="728"/>
      <c r="X10" s="728"/>
      <c r="Y10" s="728"/>
      <c r="Z10" s="728"/>
      <c r="AA10" s="728"/>
      <c r="AB10" s="728"/>
      <c r="AC10" s="728"/>
      <c r="AD10" s="728"/>
      <c r="AE10" s="728"/>
      <c r="AF10" s="728"/>
      <c r="AG10" s="728"/>
      <c r="AH10" s="728"/>
      <c r="AI10" s="728"/>
      <c r="AJ10" s="728"/>
      <c r="AK10" s="728"/>
      <c r="AL10" s="685"/>
      <c r="AM10" s="2559"/>
      <c r="AO10" s="861"/>
      <c r="AP10" s="861" t="str">
        <f>IF(T10="","",T10)</f>
        <v>Добавить вид теплоносителя (параметры теплоносителя)</v>
      </c>
      <c r="AQ10" s="861"/>
      <c r="AR10" s="861"/>
    </row>
    <row customHeight="1" ht="15" hidden="1">
      <c r="A11" s="1729"/>
      <c r="B11" s="1729"/>
      <c r="C11" s="1729"/>
      <c r="D11" s="1729"/>
      <c r="E11" s="2528"/>
      <c r="F11" s="2528"/>
      <c r="G11" s="2528"/>
      <c r="H11" s="2528"/>
      <c r="I11" s="2529"/>
      <c r="J11" s="1729"/>
      <c r="K11" s="1729"/>
      <c r="L11" s="1730"/>
      <c r="M11" s="898"/>
      <c r="P11" s="2531"/>
      <c r="Q11" s="1697"/>
      <c r="R11" s="717"/>
      <c r="S11" s="1644"/>
      <c r="T11" s="648" t="s">
        <v>453</v>
      </c>
      <c r="U11" s="728"/>
      <c r="V11" s="728"/>
      <c r="W11" s="728"/>
      <c r="X11" s="728"/>
      <c r="Y11" s="728"/>
      <c r="Z11" s="728"/>
      <c r="AA11" s="728"/>
      <c r="AB11" s="728"/>
      <c r="AC11" s="727"/>
      <c r="AD11" s="728"/>
      <c r="AE11" s="728"/>
      <c r="AF11" s="728"/>
      <c r="AG11" s="728"/>
      <c r="AH11" s="728"/>
      <c r="AI11" s="728"/>
      <c r="AJ11" s="728"/>
      <c r="AK11" s="727"/>
      <c r="AL11" s="728"/>
      <c r="AM11" s="664"/>
      <c r="AO11" s="861"/>
      <c r="AP11" s="861" t="str">
        <f>IF(T11="","",T11)</f>
        <v>Добавить группу потребителей</v>
      </c>
      <c r="AQ11" s="861"/>
      <c r="AR11" s="861"/>
    </row>
    <row customHeight="1" ht="14.25" hidden="1">
      <c r="A12" s="1729"/>
      <c r="B12" s="1729"/>
      <c r="C12" s="1729"/>
      <c r="D12" s="1729"/>
      <c r="E12" s="2528"/>
      <c r="F12" s="2528"/>
      <c r="G12" s="2528"/>
      <c r="H12" s="2527"/>
      <c r="I12" s="1729"/>
      <c r="J12" s="1729"/>
      <c r="K12" s="1729"/>
      <c r="L12" s="1730"/>
      <c r="M12" s="1731"/>
      <c r="N12" s="1731"/>
      <c r="O12" s="898"/>
      <c r="P12" s="721"/>
      <c r="Q12" s="736"/>
      <c r="R12" s="716"/>
      <c r="S12" s="1644"/>
      <c r="T12" s="726" t="s">
        <v>454</v>
      </c>
      <c r="U12" s="728"/>
      <c r="V12" s="728"/>
      <c r="W12" s="728"/>
      <c r="X12" s="728"/>
      <c r="Y12" s="728"/>
      <c r="Z12" s="728"/>
      <c r="AA12" s="728"/>
      <c r="AB12" s="728"/>
      <c r="AC12" s="727"/>
      <c r="AD12" s="728"/>
      <c r="AE12" s="728"/>
      <c r="AF12" s="728"/>
      <c r="AG12" s="728"/>
      <c r="AH12" s="728"/>
      <c r="AI12" s="728"/>
      <c r="AJ12" s="728"/>
      <c r="AK12" s="727"/>
      <c r="AL12" s="728"/>
      <c r="AM12" s="664"/>
      <c r="AO12" s="861"/>
      <c r="AP12" s="861" t="str">
        <f>IF(T12="","",T12)</f>
        <v>Добавить схему подключения</v>
      </c>
      <c r="AQ12" s="861"/>
      <c r="AR12" s="861"/>
    </row>
    <row s="32198" customFormat="1" customHeight="1" ht="0.75" hidden="1">
      <c r="A13" s="1680"/>
      <c r="B13" s="1680"/>
      <c r="C13" s="1680"/>
      <c r="D13" s="1680"/>
      <c r="E13" s="2528"/>
      <c r="F13" s="2528"/>
      <c r="G13" s="2527"/>
      <c r="H13" s="1680"/>
      <c r="I13" s="1680"/>
      <c r="J13" s="1680"/>
      <c r="K13" s="1680"/>
      <c r="L13" s="1705"/>
      <c r="M13" s="1681"/>
      <c r="N13" s="1681"/>
      <c r="P13" s="1682"/>
      <c r="Q13" s="1683"/>
      <c r="R13" s="1682"/>
      <c r="S13" s="1684"/>
      <c r="T13" s="1685" t="s">
        <v>455</v>
      </c>
      <c r="U13" s="1686"/>
      <c r="V13" s="1686"/>
      <c r="W13" s="1686"/>
      <c r="X13" s="1686"/>
      <c r="Y13" s="1686"/>
      <c r="Z13" s="1686"/>
      <c r="AA13" s="1686"/>
      <c r="AB13" s="1686"/>
      <c r="AC13" s="1686"/>
      <c r="AD13" s="1686"/>
      <c r="AE13" s="1686"/>
      <c r="AF13" s="1686"/>
      <c r="AG13" s="1686"/>
      <c r="AH13" s="1686"/>
      <c r="AI13" s="1686"/>
      <c r="AJ13" s="1686"/>
      <c r="AK13" s="1686"/>
      <c r="AL13" s="1686"/>
      <c r="AM13" s="1686"/>
      <c r="AO13" s="1150"/>
      <c r="AP13" s="1150" t="str">
        <f>IF(T13="","",T13)</f>
        <v>Добавить источник для дифференциации</v>
      </c>
      <c r="AQ13" s="1150"/>
      <c r="AR13" s="1150"/>
    </row>
    <row s="32198" customFormat="1" customHeight="1" ht="0.75" hidden="1">
      <c r="A14" s="1680"/>
      <c r="B14" s="1680"/>
      <c r="C14" s="1680"/>
      <c r="D14" s="1680"/>
      <c r="E14" s="2528"/>
      <c r="F14" s="2527"/>
      <c r="G14" s="1680"/>
      <c r="H14" s="1680"/>
      <c r="I14" s="1680"/>
      <c r="J14" s="1680"/>
      <c r="K14" s="1680"/>
      <c r="L14" s="1705"/>
      <c r="M14" s="1687"/>
      <c r="N14" s="1687"/>
      <c r="P14" s="1682"/>
      <c r="Q14" s="1683"/>
      <c r="R14" s="1682"/>
      <c r="S14" s="1688"/>
      <c r="T14" s="1689" t="s">
        <v>262</v>
      </c>
      <c r="U14" s="1690"/>
      <c r="V14" s="1690"/>
      <c r="W14" s="1690"/>
      <c r="X14" s="1690"/>
      <c r="Y14" s="1690"/>
      <c r="Z14" s="1690"/>
      <c r="AA14" s="1690"/>
      <c r="AB14" s="1690"/>
      <c r="AC14" s="1690"/>
      <c r="AD14" s="1690"/>
      <c r="AE14" s="1690"/>
      <c r="AF14" s="1690"/>
      <c r="AG14" s="1690"/>
      <c r="AH14" s="1690"/>
      <c r="AI14" s="1690"/>
      <c r="AJ14" s="1690"/>
      <c r="AK14" s="1690"/>
      <c r="AL14" s="1690"/>
      <c r="AM14" s="1690"/>
      <c r="AO14" s="1150"/>
      <c r="AP14" s="1150" t="str">
        <f>IF(T14="","",T14)</f>
        <v>Добавить централизованную систему для дифференциации</v>
      </c>
      <c r="AQ14" s="1150"/>
      <c r="AR14" s="1150"/>
    </row>
    <row s="32198" customFormat="1" customHeight="1" ht="0.75" hidden="1">
      <c r="A15" s="1680"/>
      <c r="B15" s="1680"/>
      <c r="C15" s="1680"/>
      <c r="D15" s="1680"/>
      <c r="E15" s="2527"/>
      <c r="F15" s="1680"/>
      <c r="G15" s="1680"/>
      <c r="H15" s="1680"/>
      <c r="I15" s="1680"/>
      <c r="J15" s="1680"/>
      <c r="K15" s="1680"/>
      <c r="L15" s="1705"/>
      <c r="M15" s="1687"/>
      <c r="N15" s="1687"/>
      <c r="P15" s="1682"/>
      <c r="Q15" s="1683"/>
      <c r="R15" s="1682"/>
      <c r="S15" s="1688"/>
      <c r="T15" s="1691" t="s">
        <v>270</v>
      </c>
      <c r="U15" s="1690"/>
      <c r="V15" s="1690"/>
      <c r="W15" s="1690"/>
      <c r="X15" s="1690"/>
      <c r="Y15" s="1690"/>
      <c r="Z15" s="1690"/>
      <c r="AA15" s="1690"/>
      <c r="AB15" s="1690"/>
      <c r="AC15" s="1690"/>
      <c r="AD15" s="1690"/>
      <c r="AE15" s="1690"/>
      <c r="AF15" s="1690"/>
      <c r="AG15" s="1690"/>
      <c r="AH15" s="1690"/>
      <c r="AI15" s="1690"/>
      <c r="AJ15" s="1690"/>
      <c r="AK15" s="1690"/>
      <c r="AL15" s="1690"/>
      <c r="AM15" s="1690"/>
      <c r="AO15" s="1150"/>
      <c r="AP15" s="1150" t="str">
        <f>IF(T15="","",T15)</f>
        <v>Добавить территорию для дифференциации</v>
      </c>
      <c r="AQ15" s="1150"/>
      <c r="AR15" s="1150"/>
    </row>
    <row customHeight="1" ht="14.25" hidden="1">
      <c r="AC16" s="688"/>
      <c r="AK16" s="688"/>
    </row>
    <row customHeight="1" ht="14.25" hidden="1">
      <c r="AD17" s="1726"/>
      <c r="AE17" s="1726"/>
      <c r="AF17" s="1726"/>
      <c r="AG17" s="1727"/>
      <c r="AH17" s="2525"/>
      <c r="AI17" s="2524" t="s">
        <v>66</v>
      </c>
      <c r="AJ17" s="2525"/>
      <c r="AK17" s="2524" t="s">
        <v>66</v>
      </c>
    </row>
    <row customHeight="1" ht="14.25" hidden="1">
      <c r="AD18" s="1726"/>
      <c r="AE18" s="1726"/>
      <c r="AF18" s="1726"/>
      <c r="AG18" s="689" t="str">
        <f>AH17&amp;"-"&amp;AJ17</f>
        <v>-</v>
      </c>
      <c r="AH18" s="2524"/>
      <c r="AI18" s="2524"/>
      <c r="AJ18" s="2524"/>
      <c r="AK18" s="2524"/>
    </row>
    <row customHeight="1" ht="14.25" hidden="1">
      <c r="AK19" s="688"/>
    </row>
    <row s="32217" customFormat="1" customHeight="1" ht="22.5" hidden="1">
      <c r="L20" s="1695"/>
      <c r="M20" s="1728"/>
      <c r="N20" s="1728"/>
      <c r="O20" s="1733" t="s">
        <v>456</v>
      </c>
      <c r="P20" s="1728"/>
      <c r="Q20" s="1737"/>
      <c r="R20" s="1737"/>
      <c r="S20" s="1090"/>
      <c r="Z20" s="1733"/>
      <c r="AB20" s="1733"/>
      <c r="AC20" s="1732"/>
      <c r="AH20" s="1733"/>
      <c r="AJ20" s="1733"/>
      <c r="AK20" s="1732"/>
      <c r="AN20" s="872"/>
      <c r="AO20" s="872"/>
      <c r="AP20" s="872"/>
      <c r="AQ20" s="872"/>
      <c r="AR20" s="872"/>
    </row>
    <row s="32217" customFormat="1" customHeight="1" ht="14.25" hidden="1">
      <c r="L21" s="1695"/>
      <c r="M21" s="1728"/>
      <c r="N21" s="1728"/>
      <c r="O21" s="1728"/>
      <c r="P21" s="1728"/>
      <c r="Q21" s="1737"/>
      <c r="R21" s="1737"/>
      <c r="S21" s="1090"/>
      <c r="AC21" s="1732"/>
      <c r="AK21" s="1732"/>
      <c r="AN21" s="872"/>
      <c r="AO21" s="872"/>
      <c r="AP21" s="872"/>
      <c r="AQ21" s="872"/>
      <c r="AR21" s="872"/>
    </row>
    <row s="32217" customFormat="1" customHeight="1" ht="33.75" hidden="1">
      <c r="L22" s="1695"/>
      <c r="M22" s="1728"/>
      <c r="N22" s="1728"/>
      <c r="O22" s="1730" t="s">
        <v>457</v>
      </c>
      <c r="P22" s="1728"/>
      <c r="Q22" s="1737"/>
      <c r="R22" s="1737"/>
      <c r="S22" s="1090"/>
      <c r="T22" s="1523" t="s">
        <v>458</v>
      </c>
      <c r="AA22" s="547" t="s">
        <v>459</v>
      </c>
      <c r="AC22" s="547" t="s">
        <v>460</v>
      </c>
      <c r="AD22" s="1523" t="s">
        <v>458</v>
      </c>
      <c r="AI22" s="547" t="s">
        <v>461</v>
      </c>
      <c r="AK22" s="547" t="s">
        <v>460</v>
      </c>
      <c r="AN22" s="872"/>
      <c r="AO22" s="872"/>
      <c r="AP22" s="872"/>
      <c r="AQ22" s="872"/>
      <c r="AR22" s="872"/>
    </row>
    <row customHeight="1" ht="14.25" hidden="1">
      <c r="O23" s="1730"/>
    </row>
    <row customHeight="1" ht="14.25" hidden="1">
      <c r="O24" s="1730"/>
    </row>
    <row customHeight="1" ht="14.25">
      <c r="Q25" s="737"/>
      <c r="R25" s="737"/>
      <c r="S25" s="1641"/>
      <c r="T25" s="724"/>
      <c r="U25" s="724"/>
      <c r="V25" s="870"/>
      <c r="W25" s="870"/>
      <c r="X25" s="870"/>
      <c r="Y25" s="870"/>
      <c r="Z25" s="870"/>
      <c r="AA25" s="870"/>
      <c r="AB25" s="870"/>
      <c r="AC25" s="870"/>
      <c r="AD25" s="870"/>
      <c r="AE25" s="870"/>
      <c r="AF25" s="870"/>
      <c r="AG25" s="870"/>
      <c r="AH25" s="870"/>
      <c r="AI25" s="870"/>
      <c r="AJ25" s="870"/>
      <c r="AK25" s="870"/>
    </row>
    <row customHeight="1" ht="27.75">
      <c r="Q26" s="737"/>
      <c r="R26" s="737"/>
      <c r="S26" s="256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60"/>
      <c r="U26" s="2560"/>
      <c r="V26" s="2560"/>
      <c r="W26" s="2560"/>
      <c r="X26" s="2560"/>
      <c r="Y26" s="2560"/>
      <c r="Z26" s="2560"/>
      <c r="AA26" s="2560"/>
      <c r="AB26" s="2560"/>
      <c r="AC26" s="2560"/>
      <c r="AD26" s="2560"/>
      <c r="AE26" s="2560"/>
      <c r="AF26" s="2560"/>
      <c r="AG26" s="2560"/>
      <c r="AH26" s="2560"/>
      <c r="AI26" s="2560"/>
      <c r="AJ26" s="2560"/>
      <c r="AK26" s="1608"/>
    </row>
    <row customHeight="1" ht="14.25">
      <c r="Q27" s="737"/>
      <c r="R27" s="737"/>
      <c r="S27" s="2561" t="str">
        <f>IF(org=0,"Не определено",org)</f>
        <v>АО "Мурманэнергосбыт"</v>
      </c>
      <c r="T27" s="2561"/>
      <c r="U27" s="2561"/>
      <c r="V27" s="2561"/>
      <c r="W27" s="2561"/>
      <c r="X27" s="2561"/>
      <c r="Y27" s="2561"/>
      <c r="Z27" s="2561"/>
      <c r="AA27" s="2561"/>
      <c r="AB27" s="2561"/>
      <c r="AC27" s="2561"/>
      <c r="AD27" s="2561"/>
      <c r="AE27" s="2561"/>
      <c r="AF27" s="2561"/>
      <c r="AG27" s="2561"/>
      <c r="AH27" s="2561"/>
      <c r="AI27" s="2561"/>
      <c r="AJ27" s="2561"/>
      <c r="AK27" s="1608"/>
    </row>
    <row customHeight="1" ht="14.25">
      <c r="Q28" s="737"/>
      <c r="R28" s="737"/>
      <c r="S28" s="1641"/>
      <c r="T28" s="724"/>
      <c r="U28" s="724"/>
      <c r="V28" s="683"/>
      <c r="W28" s="683"/>
      <c r="X28" s="683"/>
      <c r="Y28" s="683"/>
      <c r="Z28" s="683"/>
      <c r="AA28" s="683"/>
      <c r="AB28" s="683"/>
      <c r="AC28" s="683"/>
      <c r="AD28" s="683"/>
      <c r="AE28" s="683"/>
      <c r="AF28" s="683"/>
      <c r="AG28" s="683"/>
      <c r="AH28" s="683"/>
      <c r="AI28" s="683"/>
      <c r="AJ28" s="683"/>
      <c r="AK28" s="683"/>
      <c r="AL28" s="870"/>
    </row>
    <row s="32230" customFormat="1" customHeight="1" ht="25.5">
      <c r="A29" s="1734"/>
      <c r="B29" s="1734"/>
      <c r="C29" s="1734"/>
      <c r="D29" s="1734"/>
      <c r="E29" s="1734"/>
      <c r="F29" s="1734"/>
      <c r="G29" s="1734"/>
      <c r="H29" s="1734"/>
      <c r="I29" s="1734"/>
      <c r="J29" s="1734"/>
      <c r="K29" s="1734"/>
      <c r="L29" s="1735"/>
      <c r="M29" s="1734"/>
      <c r="N29" s="1734"/>
      <c r="O29" s="1734"/>
      <c r="S29" s="2518" t="s">
        <v>38</v>
      </c>
      <c r="T29" s="2518"/>
      <c r="U29" s="1738"/>
      <c r="V29" s="2520" t="str">
        <f>IF(TITLE_NAME_OR_PR_CHANGE="",IF(TITLE_NAME_OR_PR="","",TITLE_NAME_OR_PR),TITLE_NAME_OR_PR_CHANGE)</f>
        <v>Комитет по тарифному регулированию Мурманской области</v>
      </c>
      <c r="W29" s="2520"/>
      <c r="X29" s="2520"/>
      <c r="Y29" s="2520"/>
      <c r="Z29" s="2520"/>
      <c r="AA29" s="2520"/>
      <c r="AB29" s="2520"/>
      <c r="AC29" s="687"/>
      <c r="AD29" s="2520" t="str">
        <f>IF(TITLE_NAME_OR_PR_CHANGE="",IF(TITLE_NAME_OR_PR="","",TITLE_NAME_OR_PR),TITLE_NAME_OR_PR_CHANGE)</f>
        <v>Комитет по тарифному регулированию Мурманской области</v>
      </c>
      <c r="AE29" s="2520"/>
      <c r="AF29" s="2520"/>
      <c r="AG29" s="2520"/>
      <c r="AH29" s="2520"/>
      <c r="AI29" s="2520"/>
      <c r="AJ29" s="2520"/>
      <c r="AK29" s="687"/>
      <c r="AL29" s="687"/>
      <c r="AM29" s="641"/>
      <c r="AN29" s="729"/>
      <c r="AO29" s="729"/>
      <c r="AP29" s="729"/>
      <c r="AQ29" s="729"/>
      <c r="AR29" s="729"/>
    </row>
    <row s="32230" customFormat="1" customHeight="1" ht="18.75">
      <c r="A30" s="1734"/>
      <c r="B30" s="1734"/>
      <c r="C30" s="1734"/>
      <c r="D30" s="1734"/>
      <c r="E30" s="1734"/>
      <c r="F30" s="1734"/>
      <c r="G30" s="1734"/>
      <c r="H30" s="1734"/>
      <c r="I30" s="1734"/>
      <c r="J30" s="1734"/>
      <c r="K30" s="1734"/>
      <c r="L30" s="1735"/>
      <c r="M30" s="1734"/>
      <c r="N30" s="1734"/>
      <c r="O30" s="1734"/>
      <c r="S30" s="2518" t="s">
        <v>462</v>
      </c>
      <c r="T30" s="2518"/>
      <c r="U30" s="1738"/>
      <c r="V30" s="2519" t="str">
        <f>IF(TITLE_DATE_PR_CHANGE="",IF(TITLE_DATE_PR="","",TITLE_DATE_PR),TITLE_DATE_PR_CHANGE)</f>
        <v>45280</v>
      </c>
      <c r="W30" s="2519"/>
      <c r="X30" s="2519"/>
      <c r="Y30" s="2519"/>
      <c r="Z30" s="2519"/>
      <c r="AA30" s="2519"/>
      <c r="AB30" s="2519"/>
      <c r="AC30" s="687"/>
      <c r="AD30" s="2519" t="str">
        <f>IF(TITLE_DATE_PR_CHANGE="",IF(TITLE_DATE_PR="","",TITLE_DATE_PR),TITLE_DATE_PR_CHANGE)</f>
        <v>45280</v>
      </c>
      <c r="AE30" s="2519"/>
      <c r="AF30" s="2519"/>
      <c r="AG30" s="2519"/>
      <c r="AH30" s="2519"/>
      <c r="AI30" s="2519"/>
      <c r="AJ30" s="2519"/>
      <c r="AK30" s="687"/>
      <c r="AL30" s="687"/>
      <c r="AM30" s="641"/>
      <c r="AN30" s="729"/>
      <c r="AO30" s="729"/>
      <c r="AP30" s="729"/>
      <c r="AQ30" s="729"/>
      <c r="AR30" s="729"/>
    </row>
    <row s="32230" customFormat="1" customHeight="1" ht="18.75">
      <c r="A31" s="1734"/>
      <c r="B31" s="1734"/>
      <c r="C31" s="1734"/>
      <c r="D31" s="1734"/>
      <c r="E31" s="1734"/>
      <c r="F31" s="1734"/>
      <c r="G31" s="1734"/>
      <c r="H31" s="1734"/>
      <c r="I31" s="1734"/>
      <c r="J31" s="1734"/>
      <c r="K31" s="1734"/>
      <c r="L31" s="1735"/>
      <c r="M31" s="1734"/>
      <c r="N31" s="1734"/>
      <c r="O31" s="1734"/>
      <c r="S31" s="2518" t="s">
        <v>463</v>
      </c>
      <c r="T31" s="2518"/>
      <c r="U31" s="1738"/>
      <c r="V31" s="2520" t="str">
        <f>IF(TITLE_NUMBER_PR_CHANGE="",IF(TITLE_NUMBER_PR="","",TITLE_NUMBER_PR),TITLE_NUMBER_PR_CHANGE)</f>
        <v>51/16</v>
      </c>
      <c r="W31" s="2520"/>
      <c r="X31" s="2520"/>
      <c r="Y31" s="2520"/>
      <c r="Z31" s="2520"/>
      <c r="AA31" s="2520"/>
      <c r="AB31" s="2520"/>
      <c r="AC31" s="687"/>
      <c r="AD31" s="2520" t="str">
        <f>IF(TITLE_NUMBER_PR_CHANGE="",IF(TITLE_NUMBER_PR="","",TITLE_NUMBER_PR),TITLE_NUMBER_PR_CHANGE)</f>
        <v>51/16</v>
      </c>
      <c r="AE31" s="2520"/>
      <c r="AF31" s="2520"/>
      <c r="AG31" s="2520"/>
      <c r="AH31" s="2520"/>
      <c r="AI31" s="2520"/>
      <c r="AJ31" s="2520"/>
      <c r="AK31" s="687"/>
      <c r="AL31" s="687"/>
      <c r="AM31" s="641"/>
      <c r="AN31" s="729"/>
      <c r="AO31" s="729"/>
      <c r="AP31" s="729"/>
      <c r="AQ31" s="729"/>
      <c r="AR31" s="729"/>
    </row>
    <row s="32230" customFormat="1" customHeight="1" ht="18.75">
      <c r="A32" s="1734"/>
      <c r="B32" s="1734"/>
      <c r="C32" s="1734"/>
      <c r="D32" s="1734"/>
      <c r="E32" s="1734"/>
      <c r="F32" s="1734"/>
      <c r="G32" s="1734"/>
      <c r="H32" s="1734"/>
      <c r="I32" s="1734"/>
      <c r="J32" s="1734"/>
      <c r="K32" s="1734"/>
      <c r="L32" s="1735"/>
      <c r="M32" s="1734"/>
      <c r="N32" s="1734"/>
      <c r="O32" s="1734"/>
      <c r="S32" s="2518" t="s">
        <v>40</v>
      </c>
      <c r="T32" s="2518"/>
      <c r="U32" s="1738"/>
      <c r="V32" s="2520" t="str">
        <f>IF(TITLE_IST_PUB_CHANGE="",IF(TITLE_IST_PUB="","",TITLE_IST_PUB),TITLE_IST_PUB_CHANGE)</f>
        <v>https://npa.gov-murman.ru/bitrix/components/b1team/govmurman.element.file/download.php?ID=508455&amp;FID=750728</v>
      </c>
      <c r="W32" s="2520"/>
      <c r="X32" s="2520"/>
      <c r="Y32" s="2520"/>
      <c r="Z32" s="2520"/>
      <c r="AA32" s="2520"/>
      <c r="AB32" s="2520"/>
      <c r="AC32" s="687"/>
      <c r="AD32" s="2520" t="str">
        <f>IF(TITLE_IST_PUB_CHANGE="",IF(TITLE_IST_PUB="","",TITLE_IST_PUB),TITLE_IST_PUB_CHANGE)</f>
        <v>https://npa.gov-murman.ru/bitrix/components/b1team/govmurman.element.file/download.php?ID=508455&amp;FID=750728</v>
      </c>
      <c r="AE32" s="2520"/>
      <c r="AF32" s="2520"/>
      <c r="AG32" s="2520"/>
      <c r="AH32" s="2520"/>
      <c r="AI32" s="2520"/>
      <c r="AJ32" s="2520"/>
      <c r="AK32" s="687"/>
      <c r="AL32" s="687"/>
      <c r="AM32" s="641"/>
      <c r="AN32" s="729"/>
      <c r="AO32" s="729"/>
      <c r="AP32" s="729"/>
      <c r="AQ32" s="729"/>
      <c r="AR32" s="729"/>
    </row>
    <row customHeight="1" ht="14.25" hidden="1">
      <c r="Q33" s="737"/>
      <c r="R33" s="737"/>
      <c r="S33" s="1641"/>
      <c r="T33" s="724"/>
      <c r="U33" s="724"/>
      <c r="V33" s="683"/>
      <c r="W33" s="683"/>
      <c r="X33" s="683"/>
      <c r="Y33" s="683"/>
      <c r="Z33" s="683"/>
      <c r="AA33" s="683"/>
      <c r="AB33" s="683"/>
      <c r="AC33" s="683"/>
      <c r="AD33" s="683"/>
      <c r="AE33" s="683"/>
      <c r="AF33" s="683"/>
      <c r="AG33" s="683"/>
      <c r="AH33" s="683"/>
      <c r="AI33" s="683"/>
      <c r="AJ33" s="683"/>
      <c r="AK33" s="683"/>
      <c r="AL33" s="870"/>
    </row>
    <row s="32230" customFormat="1" customHeight="1" ht="18.75" hidden="1">
      <c r="A34" s="1734"/>
      <c r="B34" s="1734"/>
      <c r="C34" s="1734"/>
      <c r="D34" s="1734"/>
      <c r="E34" s="1734"/>
      <c r="F34" s="1734"/>
      <c r="G34" s="1734"/>
      <c r="H34" s="1734"/>
      <c r="I34" s="1734"/>
      <c r="J34" s="1734"/>
      <c r="K34" s="1734"/>
      <c r="L34" s="1735"/>
      <c r="M34" s="1734"/>
      <c r="N34" s="1734"/>
      <c r="O34" s="1734"/>
      <c r="S34" s="2518" t="s">
        <v>464</v>
      </c>
      <c r="T34" s="2518"/>
      <c r="U34" s="1738"/>
      <c r="V34" s="2519" t="str">
        <f>IF(TITLE_DATE_PR_CHANGE="",IF(TITLE_DATE_PR="","",TITLE_DATE_PR),TITLE_DATE_PR_CHANGE)</f>
        <v>45280</v>
      </c>
      <c r="W34" s="2519"/>
      <c r="X34" s="2519"/>
      <c r="Y34" s="2519"/>
      <c r="Z34" s="2519"/>
      <c r="AA34" s="2519"/>
      <c r="AB34" s="2519"/>
      <c r="AC34" s="687"/>
      <c r="AD34" s="2519" t="str">
        <f>IF(TITLE_DATE_PR_CHANGE="",IF(TITLE_DATE_PR="","",TITLE_DATE_PR),TITLE_DATE_PR_CHANGE)</f>
        <v>45280</v>
      </c>
      <c r="AE34" s="2519"/>
      <c r="AF34" s="2519"/>
      <c r="AG34" s="2519"/>
      <c r="AH34" s="2519"/>
      <c r="AI34" s="2519"/>
      <c r="AJ34" s="2519"/>
      <c r="AK34" s="687"/>
      <c r="AL34" s="687"/>
      <c r="AM34" s="641"/>
      <c r="AN34" s="729"/>
      <c r="AO34" s="729"/>
      <c r="AP34" s="729"/>
      <c r="AQ34" s="729"/>
      <c r="AR34" s="729"/>
    </row>
    <row s="32230" customFormat="1" customHeight="1" ht="18.75" hidden="1">
      <c r="A35" s="1734"/>
      <c r="B35" s="1734"/>
      <c r="C35" s="1734"/>
      <c r="D35" s="1734"/>
      <c r="E35" s="1734"/>
      <c r="F35" s="1734"/>
      <c r="G35" s="1734"/>
      <c r="H35" s="1734"/>
      <c r="I35" s="1734"/>
      <c r="J35" s="1734"/>
      <c r="K35" s="1734"/>
      <c r="L35" s="1735"/>
      <c r="M35" s="1734"/>
      <c r="N35" s="1734"/>
      <c r="O35" s="1734"/>
      <c r="S35" s="2518" t="s">
        <v>465</v>
      </c>
      <c r="T35" s="2518"/>
      <c r="U35" s="1738"/>
      <c r="V35" s="2520" t="str">
        <f>IF(TITLE_NUMBER_PR_CHANGE="",IF(TITLE_NUMBER_PR="","",TITLE_NUMBER_PR),TITLE_NUMBER_PR_CHANGE)</f>
        <v>51/16</v>
      </c>
      <c r="W35" s="2520"/>
      <c r="X35" s="2520"/>
      <c r="Y35" s="2520"/>
      <c r="Z35" s="2520"/>
      <c r="AA35" s="2520"/>
      <c r="AB35" s="2520"/>
      <c r="AC35" s="687"/>
      <c r="AD35" s="2520" t="str">
        <f>IF(TITLE_NUMBER_PR_CHANGE="",IF(TITLE_NUMBER_PR="","",TITLE_NUMBER_PR),TITLE_NUMBER_PR_CHANGE)</f>
        <v>51/16</v>
      </c>
      <c r="AE35" s="2520"/>
      <c r="AF35" s="2520"/>
      <c r="AG35" s="2520"/>
      <c r="AH35" s="2520"/>
      <c r="AI35" s="2520"/>
      <c r="AJ35" s="2520"/>
      <c r="AK35" s="687"/>
      <c r="AL35" s="687"/>
      <c r="AM35" s="641"/>
      <c r="AN35" s="729"/>
      <c r="AO35" s="729"/>
      <c r="AP35" s="729"/>
      <c r="AQ35" s="729"/>
      <c r="AR35" s="729"/>
    </row>
    <row s="32230" customFormat="1" customHeight="1" ht="0">
      <c r="A36" s="1734"/>
      <c r="B36" s="1734"/>
      <c r="C36" s="1734"/>
      <c r="D36" s="1734"/>
      <c r="E36" s="1734"/>
      <c r="F36" s="1734"/>
      <c r="G36" s="1734"/>
      <c r="H36" s="1734"/>
      <c r="I36" s="1734"/>
      <c r="J36" s="1734"/>
      <c r="K36" s="1734"/>
      <c r="L36" s="1735"/>
      <c r="M36" s="1734"/>
      <c r="N36" s="1734"/>
      <c r="O36" s="1734"/>
      <c r="S36" s="684"/>
      <c r="T36" s="684"/>
      <c r="U36" s="1706"/>
      <c r="V36" s="687"/>
      <c r="W36" s="687"/>
      <c r="X36" s="687"/>
      <c r="Y36" s="687"/>
      <c r="Z36" s="687"/>
      <c r="AA36" s="687"/>
      <c r="AB36" s="687"/>
      <c r="AC36" s="639" t="s">
        <v>466</v>
      </c>
      <c r="AD36" s="687"/>
      <c r="AE36" s="687"/>
      <c r="AF36" s="687"/>
      <c r="AG36" s="687"/>
      <c r="AH36" s="687"/>
      <c r="AI36" s="687"/>
      <c r="AJ36" s="687"/>
      <c r="AK36" s="639" t="s">
        <v>466</v>
      </c>
      <c r="AN36" s="729"/>
      <c r="AO36" s="729"/>
      <c r="AP36" s="729"/>
      <c r="AQ36" s="729"/>
      <c r="AR36" s="729"/>
    </row>
    <row customHeight="1" ht="14.25">
      <c r="Q37" s="737"/>
      <c r="R37" s="737"/>
      <c r="S37" s="1641"/>
      <c r="T37" s="724"/>
      <c r="U37" s="1609"/>
      <c r="V37" s="2544"/>
      <c r="W37" s="2544"/>
      <c r="X37" s="2544"/>
      <c r="Y37" s="2544"/>
      <c r="Z37" s="2544"/>
      <c r="AA37" s="2544"/>
      <c r="AB37" s="2544"/>
      <c r="AC37" s="2544"/>
      <c r="AD37" s="2544"/>
      <c r="AE37" s="2544"/>
      <c r="AF37" s="2544"/>
      <c r="AG37" s="2544"/>
      <c r="AH37" s="2544"/>
      <c r="AI37" s="2544"/>
      <c r="AJ37" s="2544"/>
      <c r="AK37" s="2544"/>
    </row>
    <row customHeight="1" ht="14.25">
      <c r="Q38" s="737"/>
      <c r="R38" s="737"/>
      <c r="S38" s="2392" t="s">
        <v>341</v>
      </c>
      <c r="T38" s="2392"/>
      <c r="U38" s="2392"/>
      <c r="V38" s="2392"/>
      <c r="W38" s="2392"/>
      <c r="X38" s="2392"/>
      <c r="Y38" s="2392"/>
      <c r="Z38" s="2392"/>
      <c r="AA38" s="2392"/>
      <c r="AB38" s="2392"/>
      <c r="AC38" s="2392"/>
      <c r="AD38" s="2392"/>
      <c r="AE38" s="2392"/>
      <c r="AF38" s="2392"/>
      <c r="AG38" s="2392"/>
      <c r="AH38" s="2392"/>
      <c r="AI38" s="2392"/>
      <c r="AJ38" s="2392"/>
      <c r="AK38" s="2392"/>
      <c r="AL38" s="2392"/>
      <c r="AM38" s="2392" t="s">
        <v>342</v>
      </c>
    </row>
    <row customHeight="1" ht="14.25">
      <c r="Q39" s="737"/>
      <c r="R39" s="737"/>
      <c r="S39" s="2545" t="s">
        <v>87</v>
      </c>
      <c r="T39" s="2482" t="s">
        <v>467</v>
      </c>
      <c r="U39" s="662"/>
      <c r="V39" s="2546" t="s">
        <v>468</v>
      </c>
      <c r="W39" s="2547"/>
      <c r="X39" s="2568"/>
      <c r="Y39" s="2568"/>
      <c r="Z39" s="2547"/>
      <c r="AA39" s="2547"/>
      <c r="AB39" s="2548"/>
      <c r="AC39" s="2549" t="s">
        <v>469</v>
      </c>
      <c r="AD39" s="2546" t="s">
        <v>468</v>
      </c>
      <c r="AE39" s="2547"/>
      <c r="AF39" s="2568"/>
      <c r="AG39" s="2568"/>
      <c r="AH39" s="2547"/>
      <c r="AI39" s="2547"/>
      <c r="AJ39" s="2548"/>
      <c r="AK39" s="2549" t="s">
        <v>470</v>
      </c>
      <c r="AL39" s="2552" t="s">
        <v>471</v>
      </c>
      <c r="AM39" s="2392"/>
    </row>
    <row customHeight="1" ht="23.25">
      <c r="Q40" s="737"/>
      <c r="R40" s="737"/>
      <c r="S40" s="2545"/>
      <c r="T40" s="2482"/>
      <c r="U40" s="1393"/>
      <c r="V40" s="2564" t="s">
        <v>472</v>
      </c>
      <c r="W40" s="2566" t="s">
        <v>473</v>
      </c>
      <c r="X40" s="1742" t="s">
        <v>474</v>
      </c>
      <c r="Y40" s="1742"/>
      <c r="Z40" s="2539" t="s">
        <v>475</v>
      </c>
      <c r="AA40" s="2539"/>
      <c r="AB40" s="2540"/>
      <c r="AC40" s="2550"/>
      <c r="AD40" s="2564" t="s">
        <v>472</v>
      </c>
      <c r="AE40" s="2566" t="s">
        <v>473</v>
      </c>
      <c r="AF40" s="1742" t="s">
        <v>474</v>
      </c>
      <c r="AG40" s="1742"/>
      <c r="AH40" s="2539" t="s">
        <v>475</v>
      </c>
      <c r="AI40" s="2539"/>
      <c r="AJ40" s="2540"/>
      <c r="AK40" s="2550"/>
      <c r="AL40" s="2553"/>
      <c r="AM40" s="2392"/>
    </row>
    <row s="32353" customFormat="1" customHeight="1" ht="23.25">
      <c r="A41" s="1736"/>
      <c r="B41" s="1736" t="s">
        <v>143</v>
      </c>
      <c r="C41" s="1736" t="s">
        <v>144</v>
      </c>
      <c r="D41" s="1736" t="s">
        <v>145</v>
      </c>
      <c r="E41" s="1730" t="s">
        <v>476</v>
      </c>
      <c r="F41" s="1730" t="s">
        <v>477</v>
      </c>
      <c r="G41" s="1730" t="s">
        <v>478</v>
      </c>
      <c r="H41" s="1730" t="s">
        <v>479</v>
      </c>
      <c r="I41" s="1730" t="s">
        <v>480</v>
      </c>
      <c r="J41" s="1730" t="s">
        <v>481</v>
      </c>
      <c r="K41" s="1730" t="s">
        <v>482</v>
      </c>
      <c r="L41" s="1730" t="s">
        <v>457</v>
      </c>
      <c r="M41" s="1728"/>
      <c r="N41" s="1728"/>
      <c r="O41" s="1728"/>
      <c r="P41" s="1694"/>
      <c r="Q41" s="737"/>
      <c r="R41" s="737"/>
      <c r="S41" s="2545"/>
      <c r="T41" s="2482"/>
      <c r="U41" s="663"/>
      <c r="V41" s="2565"/>
      <c r="W41" s="2567"/>
      <c r="X41" s="1739" t="s">
        <v>483</v>
      </c>
      <c r="Y41" s="1739" t="s">
        <v>484</v>
      </c>
      <c r="Z41" s="1700" t="s">
        <v>485</v>
      </c>
      <c r="AA41" s="2541" t="s">
        <v>486</v>
      </c>
      <c r="AB41" s="2542"/>
      <c r="AC41" s="2551"/>
      <c r="AD41" s="2565"/>
      <c r="AE41" s="2567"/>
      <c r="AF41" s="1739" t="s">
        <v>483</v>
      </c>
      <c r="AG41" s="1739" t="s">
        <v>484</v>
      </c>
      <c r="AH41" s="1700" t="s">
        <v>485</v>
      </c>
      <c r="AI41" s="2541" t="s">
        <v>486</v>
      </c>
      <c r="AJ41" s="2542"/>
      <c r="AK41" s="2551"/>
      <c r="AL41" s="2554"/>
      <c r="AM41" s="2392"/>
      <c r="AN41" s="872"/>
      <c r="AO41" s="861"/>
      <c r="AP41" s="861"/>
      <c r="AQ41" s="861"/>
      <c r="AR41" s="861"/>
    </row>
    <row s="32049" customFormat="1" customHeight="1" ht="11.25" hidden="1">
      <c r="A42" s="1736"/>
      <c r="B42" s="1736"/>
      <c r="C42" s="1736"/>
      <c r="D42" s="1736"/>
      <c r="E42" s="1736"/>
      <c r="F42" s="1736"/>
      <c r="G42" s="1736"/>
      <c r="H42" s="1736"/>
      <c r="I42" s="1736"/>
      <c r="J42" s="1736"/>
      <c r="K42" s="1736"/>
      <c r="L42" s="1730"/>
      <c r="M42" s="1728"/>
      <c r="N42" s="1728"/>
      <c r="O42" s="1728"/>
      <c r="P42" s="1611"/>
      <c r="Q42" s="1612"/>
      <c r="R42" s="1619">
        <v>1</v>
      </c>
      <c r="S42" s="1643" t="s">
        <v>118</v>
      </c>
      <c r="T42" s="1620" t="s">
        <v>102</v>
      </c>
      <c r="U42" s="1610" t="str">
        <f>OFFSET(U42,0,-1)</f>
        <v>2</v>
      </c>
      <c r="V42" s="1701">
        <f>OFFSET(V42,0,-1)+1</f>
        <v>3</v>
      </c>
      <c r="W42" s="1701"/>
      <c r="X42" s="1707">
        <f>OFFSET(X42,0,-1)+1</f>
        <v>1</v>
      </c>
      <c r="Y42" s="1707">
        <f>OFFSET(Y42,0,-1)+1</f>
        <v>2</v>
      </c>
      <c r="Z42" s="1701">
        <f>OFFSET(Z42,0,-1)+1</f>
        <v>3</v>
      </c>
      <c r="AA42" s="2543">
        <f>OFFSET(AA42,0,-1)+1</f>
        <v>4</v>
      </c>
      <c r="AB42" s="2543"/>
      <c r="AC42" s="1701">
        <f>OFFSET(AC42,0,-2)+1</f>
        <v>5</v>
      </c>
      <c r="AD42" s="1701">
        <f>OFFSET(AD42,0,-1)+1</f>
        <v>6</v>
      </c>
      <c r="AE42" s="1701"/>
      <c r="AF42" s="1707">
        <f>OFFSET(AF42,0,-1)+1</f>
        <v>1</v>
      </c>
      <c r="AG42" s="1707">
        <f>OFFSET(AG42,0,-1)+1</f>
        <v>2</v>
      </c>
      <c r="AH42" s="1701">
        <f>OFFSET(AH42,0,-1)+1</f>
        <v>3</v>
      </c>
      <c r="AI42" s="2543">
        <f>OFFSET(AI42,0,-1)+1</f>
        <v>4</v>
      </c>
      <c r="AJ42" s="2543"/>
      <c r="AK42" s="1701">
        <f>OFFSET(AK42,0,-2)+1</f>
        <v>5</v>
      </c>
      <c r="AL42" s="1610">
        <f>OFFSET(AL42,0,-1)</f>
        <v>5</v>
      </c>
      <c r="AM42" s="1701">
        <f>OFFSET(AM42,0,-1)+1</f>
        <v>6</v>
      </c>
      <c r="AN42" s="872"/>
      <c r="AO42" s="872"/>
      <c r="AP42" s="872"/>
      <c r="AQ42" s="872"/>
      <c r="AR42" s="872"/>
    </row>
    <row customHeight="1" ht="21">
      <c r="A43" s="1729" t="s">
        <v>198</v>
      </c>
      <c r="B43" s="1729"/>
      <c r="C43" s="1729"/>
      <c r="D43" s="1729"/>
      <c r="E43" s="2527">
        <v>1</v>
      </c>
      <c r="F43" s="1729"/>
      <c r="G43" s="1729"/>
      <c r="H43" s="1729"/>
      <c r="I43" s="1729"/>
      <c r="J43" s="1729"/>
      <c r="K43" s="1729"/>
      <c r="L43" s="1730"/>
      <c r="M43" s="1731"/>
      <c r="N43" s="1731"/>
      <c r="O43" s="1731"/>
      <c r="P43" s="722"/>
      <c r="Q43" s="721"/>
      <c r="R43" s="716"/>
      <c r="S43" s="1702">
        <f>INDEX(PT_DIFFERENTIATION_NUM_NTAR,MATCH(A43,PT_DIFFERENTIATION_NTAR_ID,0))</f>
        <v>0</v>
      </c>
      <c r="T43" s="659" t="s">
        <v>131</v>
      </c>
      <c r="U43" s="661"/>
      <c r="V43" s="2521"/>
      <c r="W43" s="2522"/>
      <c r="X43" s="2522"/>
      <c r="Y43" s="2522"/>
      <c r="Z43" s="2522"/>
      <c r="AA43" s="2522"/>
      <c r="AB43" s="2522"/>
      <c r="AC43" s="2523"/>
      <c r="AD43" s="2521" t="str">
        <f>INDEX(PT_DIFFERENTIATION_NTAR,MATCH(A43,PT_DIFFERENTIATION_NTAR_ID,0))</f>
        <v/>
      </c>
      <c r="AE43" s="2522"/>
      <c r="AF43" s="2522"/>
      <c r="AG43" s="2522"/>
      <c r="AH43" s="2522"/>
      <c r="AI43" s="2522"/>
      <c r="AJ43" s="2522"/>
      <c r="AK43" s="2522"/>
      <c r="AL43" s="2523"/>
      <c r="AM43" s="16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861"/>
      <c r="AP43" s="861" t="str">
        <f>IF(T43="","",T43)</f>
        <v>Наименование тарифа</v>
      </c>
      <c r="AQ43" s="861"/>
      <c r="AR43" s="861"/>
    </row>
    <row customHeight="1" ht="21">
      <c r="A44" s="1729" t="s">
        <v>198</v>
      </c>
      <c r="B44" s="1729" t="s">
        <v>199</v>
      </c>
      <c r="C44" s="1729"/>
      <c r="D44" s="1729"/>
      <c r="E44" s="2528"/>
      <c r="F44" s="2527">
        <v>1</v>
      </c>
      <c r="G44" s="1729"/>
      <c r="H44" s="1729"/>
      <c r="I44" s="1729"/>
      <c r="J44" s="1729"/>
      <c r="K44" s="1729"/>
      <c r="L44" s="1730"/>
      <c r="M44" s="1731"/>
      <c r="N44" s="1731"/>
      <c r="O44" s="1731"/>
      <c r="P44" s="1698"/>
      <c r="Q44" s="713"/>
      <c r="R44" s="714"/>
      <c r="S44" s="1702" t="str">
        <f>INDEX(PT_DIFFERENTIATION_NUM_TER,MATCH(B44,PT_DIFFERENTIATION_TER_ID,0))</f>
        <v>.</v>
      </c>
      <c r="T44" s="669" t="s">
        <v>438</v>
      </c>
      <c r="U44" s="661"/>
      <c r="V44" s="2521"/>
      <c r="W44" s="2522"/>
      <c r="X44" s="2522"/>
      <c r="Y44" s="2522"/>
      <c r="Z44" s="2522"/>
      <c r="AA44" s="2522"/>
      <c r="AB44" s="2522"/>
      <c r="AC44" s="2523"/>
      <c r="AD44" s="2521" t="str">
        <f>INDEX(PT_DIFFERENTIATION_TER,MATCH(B44,PT_DIFFERENTIATION_TER_ID,0))</f>
        <v/>
      </c>
      <c r="AE44" s="2522"/>
      <c r="AF44" s="2522"/>
      <c r="AG44" s="2522"/>
      <c r="AH44" s="2522"/>
      <c r="AI44" s="2522"/>
      <c r="AJ44" s="2522"/>
      <c r="AK44" s="2522"/>
      <c r="AL44" s="2523"/>
      <c r="AM44" s="1623" t="s">
        <v>439</v>
      </c>
      <c r="AO44" s="861"/>
      <c r="AP44" s="861" t="str">
        <f>IF(T44="","",T44)</f>
        <v>Территория действия тарифа</v>
      </c>
      <c r="AQ44" s="861"/>
      <c r="AR44" s="861"/>
    </row>
    <row customHeight="1" ht="23.25">
      <c r="A45" s="1729" t="s">
        <v>198</v>
      </c>
      <c r="B45" s="1729" t="s">
        <v>199</v>
      </c>
      <c r="C45" s="1729" t="s">
        <v>200</v>
      </c>
      <c r="D45" s="1729"/>
      <c r="E45" s="2528"/>
      <c r="F45" s="2528"/>
      <c r="G45" s="2527">
        <v>1</v>
      </c>
      <c r="H45" s="1729"/>
      <c r="I45" s="1729"/>
      <c r="J45" s="1729"/>
      <c r="K45" s="1729"/>
      <c r="L45" s="1730"/>
      <c r="M45" s="1731"/>
      <c r="N45" s="1731"/>
      <c r="O45" s="1731"/>
      <c r="P45" s="715"/>
      <c r="Q45" s="713"/>
      <c r="R45" s="714"/>
      <c r="S45" s="1702" t="str">
        <f>INDEX(PT_DIFFERENTIATION_NUM_CS,MATCH(C45,PT_DIFFERENTIATION_CS_ID,0))</f>
        <v>..</v>
      </c>
      <c r="T45" s="670" t="s">
        <v>440</v>
      </c>
      <c r="U45" s="661"/>
      <c r="V45" s="2521"/>
      <c r="W45" s="2522"/>
      <c r="X45" s="2522"/>
      <c r="Y45" s="2522"/>
      <c r="Z45" s="2522"/>
      <c r="AA45" s="2522"/>
      <c r="AB45" s="2522"/>
      <c r="AC45" s="2523"/>
      <c r="AD45" s="2521" t="str">
        <f>INDEX(PT_DIFFERENTIATION_CS,MATCH(C45,PT_DIFFERENTIATION_CS_ID,0))</f>
        <v/>
      </c>
      <c r="AE45" s="2522"/>
      <c r="AF45" s="2522"/>
      <c r="AG45" s="2522"/>
      <c r="AH45" s="2522"/>
      <c r="AI45" s="2522"/>
      <c r="AJ45" s="2522"/>
      <c r="AK45" s="2522"/>
      <c r="AL45" s="2523"/>
      <c r="AM45" s="1623" t="s">
        <v>441</v>
      </c>
      <c r="AO45" s="861"/>
      <c r="AP45" s="861" t="str">
        <f>IF(T45="","",T45)</f>
        <v>Наименование системы теплоснабжения </v>
      </c>
      <c r="AQ45" s="861"/>
      <c r="AR45" s="861"/>
    </row>
    <row customHeight="1" ht="21">
      <c r="A46" s="1729" t="s">
        <v>198</v>
      </c>
      <c r="B46" s="1729" t="s">
        <v>199</v>
      </c>
      <c r="C46" s="1729" t="s">
        <v>200</v>
      </c>
      <c r="D46" s="1729" t="s">
        <v>201</v>
      </c>
      <c r="E46" s="2528"/>
      <c r="F46" s="2528"/>
      <c r="G46" s="2528"/>
      <c r="H46" s="2527">
        <v>1</v>
      </c>
      <c r="I46" s="1729"/>
      <c r="J46" s="1729"/>
      <c r="K46" s="1729"/>
      <c r="L46" s="1730"/>
      <c r="M46" s="1731"/>
      <c r="N46" s="1731"/>
      <c r="O46" s="1731"/>
      <c r="P46" s="715"/>
      <c r="Q46" s="713"/>
      <c r="R46" s="714"/>
      <c r="S46" s="1702" t="str">
        <f>INDEX(PT_DIFFERENTIATION_NUM_IST_TE,MATCH(D46,PT_DIFFERENTIATION_IST_TE_ID,0))</f>
        <v>...</v>
      </c>
      <c r="T46" s="671" t="s">
        <v>442</v>
      </c>
      <c r="U46" s="661"/>
      <c r="V46" s="2521"/>
      <c r="W46" s="2522"/>
      <c r="X46" s="2522"/>
      <c r="Y46" s="2522"/>
      <c r="Z46" s="2522"/>
      <c r="AA46" s="2522"/>
      <c r="AB46" s="2522"/>
      <c r="AC46" s="2523"/>
      <c r="AD46" s="2521" t="str">
        <f>INDEX(PT_DIFFERENTIATION_IST_TE,MATCH(D46,PT_DIFFERENTIATION_IST_TE_ID,0))</f>
        <v/>
      </c>
      <c r="AE46" s="2522"/>
      <c r="AF46" s="2522"/>
      <c r="AG46" s="2522"/>
      <c r="AH46" s="2522"/>
      <c r="AI46" s="2522"/>
      <c r="AJ46" s="2522"/>
      <c r="AK46" s="2522"/>
      <c r="AL46" s="2523"/>
      <c r="AM46" s="1623" t="s">
        <v>443</v>
      </c>
      <c r="AO46" s="861"/>
      <c r="AP46" s="861" t="str">
        <f>IF(T46="","",T46)</f>
        <v>Источник тепловой энергии  </v>
      </c>
      <c r="AQ46" s="861"/>
      <c r="AR46" s="861"/>
    </row>
    <row customHeight="1" ht="47.25">
      <c r="A47" s="1729" t="s">
        <v>198</v>
      </c>
      <c r="B47" s="1729" t="s">
        <v>199</v>
      </c>
      <c r="C47" s="1729" t="s">
        <v>200</v>
      </c>
      <c r="D47" s="1729" t="s">
        <v>201</v>
      </c>
      <c r="E47" s="2528"/>
      <c r="F47" s="2528"/>
      <c r="G47" s="2528"/>
      <c r="H47" s="2528"/>
      <c r="I47" s="2529" t="str">
        <f>S46&amp;".1"</f>
        <v>....1</v>
      </c>
      <c r="J47" s="1729"/>
      <c r="K47" s="1729"/>
      <c r="L47" s="1730" t="s">
        <v>444</v>
      </c>
      <c r="P47" s="2531">
        <v>1</v>
      </c>
      <c r="Q47" s="1697"/>
      <c r="R47" s="717"/>
      <c r="S47" s="1702" t="str">
        <f>$I47</f>
        <v>....1</v>
      </c>
      <c r="T47" s="646" t="s">
        <v>445</v>
      </c>
      <c r="U47" s="661"/>
      <c r="V47" s="2515"/>
      <c r="W47" s="2516"/>
      <c r="X47" s="2516"/>
      <c r="Y47" s="2516"/>
      <c r="Z47" s="2516"/>
      <c r="AA47" s="2516"/>
      <c r="AB47" s="2516"/>
      <c r="AC47" s="2517"/>
      <c r="AD47" s="2515"/>
      <c r="AE47" s="2516"/>
      <c r="AF47" s="2516"/>
      <c r="AG47" s="2516"/>
      <c r="AH47" s="2516"/>
      <c r="AI47" s="2516"/>
      <c r="AJ47" s="2516"/>
      <c r="AK47" s="2516"/>
      <c r="AL47" s="2517"/>
      <c r="AM47" s="1623" t="s">
        <v>446</v>
      </c>
      <c r="AO47" s="861"/>
      <c r="AP47" s="861" t="str">
        <f>IF(T47="","",T47)</f>
        <v>Схема подключения теплопотребляющей установки к коллектору источника тепловой энергии</v>
      </c>
      <c r="AQ47" s="861"/>
      <c r="AR47" s="861"/>
    </row>
    <row customHeight="1" ht="21">
      <c r="A48" s="1729" t="s">
        <v>198</v>
      </c>
      <c r="B48" s="1729" t="s">
        <v>199</v>
      </c>
      <c r="C48" s="1729" t="s">
        <v>200</v>
      </c>
      <c r="D48" s="1729" t="s">
        <v>201</v>
      </c>
      <c r="E48" s="2528"/>
      <c r="F48" s="2528"/>
      <c r="G48" s="2528"/>
      <c r="H48" s="2528"/>
      <c r="I48" s="2530"/>
      <c r="J48" s="2529" t="str">
        <f>I47&amp;".1"</f>
        <v>....1.1</v>
      </c>
      <c r="K48" s="1729"/>
      <c r="L48" s="1730" t="s">
        <v>447</v>
      </c>
      <c r="P48" s="2531"/>
      <c r="Q48" s="2531">
        <v>1</v>
      </c>
      <c r="R48" s="718"/>
      <c r="S48" s="1702" t="str">
        <f>$J48</f>
        <v>....1.1</v>
      </c>
      <c r="T48" s="647" t="s">
        <v>448</v>
      </c>
      <c r="U48" s="661"/>
      <c r="V48" s="2515"/>
      <c r="W48" s="2516"/>
      <c r="X48" s="2516"/>
      <c r="Y48" s="2516"/>
      <c r="Z48" s="2516"/>
      <c r="AA48" s="2516"/>
      <c r="AB48" s="2516"/>
      <c r="AC48" s="2517"/>
      <c r="AD48" s="2515"/>
      <c r="AE48" s="2516"/>
      <c r="AF48" s="2516"/>
      <c r="AG48" s="2516"/>
      <c r="AH48" s="2516"/>
      <c r="AI48" s="2516"/>
      <c r="AJ48" s="2516"/>
      <c r="AK48" s="2516"/>
      <c r="AL48" s="2517"/>
      <c r="AM48" s="1623" t="s">
        <v>449</v>
      </c>
      <c r="AO48" s="861"/>
      <c r="AP48" s="861" t="str">
        <f>IF(T48="","",T48)</f>
        <v>Группа потребителей</v>
      </c>
      <c r="AQ48" s="861"/>
      <c r="AR48" s="861"/>
    </row>
    <row customHeight="1" ht="21">
      <c r="A49" s="1729" t="s">
        <v>198</v>
      </c>
      <c r="B49" s="1729" t="s">
        <v>199</v>
      </c>
      <c r="C49" s="1729" t="s">
        <v>200</v>
      </c>
      <c r="D49" s="1729" t="s">
        <v>201</v>
      </c>
      <c r="E49" s="2528"/>
      <c r="F49" s="2528"/>
      <c r="G49" s="2528"/>
      <c r="H49" s="2528"/>
      <c r="I49" s="2530"/>
      <c r="J49" s="2530"/>
      <c r="K49" s="2529" t="str">
        <f>J48&amp;".1"</f>
        <v>....1.1.1</v>
      </c>
      <c r="L49" s="1730" t="s">
        <v>450</v>
      </c>
      <c r="P49" s="2531"/>
      <c r="Q49" s="2531"/>
      <c r="R49" s="718">
        <v>1</v>
      </c>
      <c r="S49" s="1702" t="str">
        <f>$K49</f>
        <v>....1.1.1</v>
      </c>
      <c r="T49" s="1713"/>
      <c r="U49" s="661"/>
      <c r="V49" s="686"/>
      <c r="W49" s="1112"/>
      <c r="X49" s="686"/>
      <c r="Y49" s="745"/>
      <c r="Z49" s="2532"/>
      <c r="AA49" s="2402" t="s">
        <v>66</v>
      </c>
      <c r="AB49" s="2532"/>
      <c r="AC49" s="2402" t="s">
        <v>66</v>
      </c>
      <c r="AD49" s="686"/>
      <c r="AE49" s="1112"/>
      <c r="AF49" s="686"/>
      <c r="AG49" s="745"/>
      <c r="AH49" s="2532"/>
      <c r="AI49" s="2402" t="s">
        <v>66</v>
      </c>
      <c r="AJ49" s="2534"/>
      <c r="AK49" s="2402" t="s">
        <v>66</v>
      </c>
      <c r="AL49" s="1714"/>
      <c r="AM49" s="2557" t="s">
        <v>451</v>
      </c>
      <c r="AN49" s="872">
        <f>STRCHECKDATE(V50:AL50)</f>
      </c>
      <c r="AO49" s="861"/>
      <c r="AP49" s="861" t="str">
        <f>IF(T49="","",T49)</f>
        <v/>
      </c>
      <c r="AQ49" s="861"/>
      <c r="AR49" s="861"/>
    </row>
    <row customHeight="1" ht="0.75">
      <c r="A50" s="1729" t="s">
        <v>198</v>
      </c>
      <c r="B50" s="1729" t="s">
        <v>199</v>
      </c>
      <c r="C50" s="1729" t="s">
        <v>200</v>
      </c>
      <c r="D50" s="1729" t="s">
        <v>201</v>
      </c>
      <c r="E50" s="2528"/>
      <c r="F50" s="2528"/>
      <c r="G50" s="2528"/>
      <c r="H50" s="2528"/>
      <c r="I50" s="2530"/>
      <c r="J50" s="2530"/>
      <c r="K50" s="2529"/>
      <c r="L50" s="1730"/>
      <c r="P50" s="2531"/>
      <c r="Q50" s="2531"/>
      <c r="R50" s="718"/>
      <c r="S50" s="1708"/>
      <c r="T50" s="661"/>
      <c r="U50" s="661"/>
      <c r="V50" s="686"/>
      <c r="W50" s="686"/>
      <c r="X50" s="686"/>
      <c r="Y50" s="689" t="str">
        <f>Z49&amp;"-"&amp;AB49</f>
        <v>-</v>
      </c>
      <c r="Z50" s="2533"/>
      <c r="AA50" s="2402"/>
      <c r="AB50" s="2533"/>
      <c r="AC50" s="2402"/>
      <c r="AD50" s="686"/>
      <c r="AE50" s="686"/>
      <c r="AF50" s="686"/>
      <c r="AG50" s="689" t="str">
        <f>AH49&amp;"-"&amp;AJ49</f>
        <v>-</v>
      </c>
      <c r="AH50" s="2533"/>
      <c r="AI50" s="2402"/>
      <c r="AJ50" s="2535"/>
      <c r="AK50" s="2402"/>
      <c r="AL50" s="1715"/>
      <c r="AM50" s="2558"/>
      <c r="AO50" s="861"/>
      <c r="AP50" s="861" t="str">
        <f>IF(T50="","",T50)</f>
        <v/>
      </c>
      <c r="AQ50" s="861"/>
      <c r="AR50" s="861"/>
    </row>
    <row customHeight="1" ht="11.25">
      <c r="A51" s="1729" t="s">
        <v>198</v>
      </c>
      <c r="B51" s="1729" t="s">
        <v>199</v>
      </c>
      <c r="C51" s="1729" t="s">
        <v>200</v>
      </c>
      <c r="D51" s="1729" t="s">
        <v>201</v>
      </c>
      <c r="E51" s="2528"/>
      <c r="F51" s="2528"/>
      <c r="G51" s="2528"/>
      <c r="H51" s="2528"/>
      <c r="I51" s="2530"/>
      <c r="J51" s="2529"/>
      <c r="K51" s="1729"/>
      <c r="L51" s="1730"/>
      <c r="P51" s="2531"/>
      <c r="Q51" s="2531"/>
      <c r="R51" s="717"/>
      <c r="S51" s="1644"/>
      <c r="T51" s="649" t="s">
        <v>452</v>
      </c>
      <c r="U51" s="728"/>
      <c r="V51" s="728"/>
      <c r="W51" s="728"/>
      <c r="X51" s="728"/>
      <c r="Y51" s="728"/>
      <c r="Z51" s="728"/>
      <c r="AA51" s="728"/>
      <c r="AB51" s="728"/>
      <c r="AC51" s="728"/>
      <c r="AD51" s="728"/>
      <c r="AE51" s="728"/>
      <c r="AF51" s="728"/>
      <c r="AG51" s="728"/>
      <c r="AH51" s="728"/>
      <c r="AI51" s="728"/>
      <c r="AJ51" s="728"/>
      <c r="AK51" s="728"/>
      <c r="AL51" s="685"/>
      <c r="AM51" s="2559"/>
      <c r="AO51" s="861"/>
      <c r="AP51" s="861" t="str">
        <f>IF(T51="","",T51)</f>
        <v>Добавить вид теплоносителя (параметры теплоносителя)</v>
      </c>
      <c r="AQ51" s="861"/>
      <c r="AR51" s="861"/>
    </row>
    <row customHeight="1" ht="11.25">
      <c r="A52" s="1729" t="s">
        <v>198</v>
      </c>
      <c r="B52" s="1729" t="s">
        <v>199</v>
      </c>
      <c r="C52" s="1729" t="s">
        <v>200</v>
      </c>
      <c r="D52" s="1729" t="s">
        <v>201</v>
      </c>
      <c r="E52" s="2528"/>
      <c r="F52" s="2528"/>
      <c r="G52" s="2528"/>
      <c r="H52" s="2528"/>
      <c r="I52" s="2529"/>
      <c r="J52" s="1729"/>
      <c r="K52" s="1729"/>
      <c r="L52" s="1730"/>
      <c r="P52" s="2531"/>
      <c r="Q52" s="1697"/>
      <c r="R52" s="717"/>
      <c r="S52" s="1644"/>
      <c r="T52" s="648" t="s">
        <v>453</v>
      </c>
      <c r="U52" s="728"/>
      <c r="V52" s="728"/>
      <c r="W52" s="728"/>
      <c r="X52" s="728"/>
      <c r="Y52" s="728"/>
      <c r="Z52" s="728"/>
      <c r="AA52" s="728"/>
      <c r="AB52" s="728"/>
      <c r="AC52" s="727"/>
      <c r="AD52" s="728"/>
      <c r="AE52" s="728"/>
      <c r="AF52" s="728"/>
      <c r="AG52" s="728"/>
      <c r="AH52" s="728"/>
      <c r="AI52" s="728"/>
      <c r="AJ52" s="728"/>
      <c r="AK52" s="727"/>
      <c r="AL52" s="728"/>
      <c r="AM52" s="664"/>
      <c r="AO52" s="861"/>
      <c r="AP52" s="861" t="str">
        <f>IF(T52="","",T52)</f>
        <v>Добавить группу потребителей</v>
      </c>
      <c r="AQ52" s="861"/>
      <c r="AR52" s="861"/>
    </row>
    <row customHeight="1" ht="14.25">
      <c r="A53" s="1729" t="s">
        <v>198</v>
      </c>
      <c r="B53" s="1729" t="s">
        <v>199</v>
      </c>
      <c r="C53" s="1729" t="s">
        <v>200</v>
      </c>
      <c r="D53" s="1729" t="s">
        <v>201</v>
      </c>
      <c r="E53" s="2528"/>
      <c r="F53" s="2528"/>
      <c r="G53" s="2528"/>
      <c r="H53" s="2527"/>
      <c r="I53" s="1729"/>
      <c r="J53" s="1729"/>
      <c r="K53" s="1729"/>
      <c r="L53" s="1730"/>
      <c r="M53" s="1731"/>
      <c r="N53" s="1731"/>
      <c r="O53" s="898"/>
      <c r="P53" s="721"/>
      <c r="Q53" s="736"/>
      <c r="R53" s="716"/>
      <c r="S53" s="1644"/>
      <c r="T53" s="726" t="s">
        <v>454</v>
      </c>
      <c r="U53" s="728"/>
      <c r="V53" s="728"/>
      <c r="W53" s="728"/>
      <c r="X53" s="728"/>
      <c r="Y53" s="728"/>
      <c r="Z53" s="728"/>
      <c r="AA53" s="728"/>
      <c r="AB53" s="728"/>
      <c r="AC53" s="727"/>
      <c r="AD53" s="728"/>
      <c r="AE53" s="728"/>
      <c r="AF53" s="728"/>
      <c r="AG53" s="728"/>
      <c r="AH53" s="728"/>
      <c r="AI53" s="728"/>
      <c r="AJ53" s="728"/>
      <c r="AK53" s="727"/>
      <c r="AL53" s="728"/>
      <c r="AM53" s="664"/>
      <c r="AO53" s="861"/>
      <c r="AP53" s="861" t="str">
        <f>IF(T53="","",T53)</f>
        <v>Добавить схему подключения</v>
      </c>
      <c r="AQ53" s="861"/>
      <c r="AR53" s="861"/>
    </row>
    <row s="32198" customFormat="1" customHeight="1" ht="0.75">
      <c r="A54" s="1709" t="s">
        <v>198</v>
      </c>
      <c r="B54" s="1709" t="s">
        <v>199</v>
      </c>
      <c r="C54" s="1709" t="s">
        <v>200</v>
      </c>
      <c r="D54" s="1680"/>
      <c r="E54" s="2528"/>
      <c r="F54" s="2528"/>
      <c r="G54" s="2527"/>
      <c r="H54" s="1680"/>
      <c r="I54" s="1680"/>
      <c r="J54" s="1680"/>
      <c r="K54" s="1680"/>
      <c r="L54" s="1705"/>
      <c r="M54" s="1681"/>
      <c r="N54" s="1681"/>
      <c r="P54" s="1682"/>
      <c r="Q54" s="1683"/>
      <c r="R54" s="1682"/>
      <c r="S54" s="1688"/>
      <c r="T54" s="1691" t="s">
        <v>455</v>
      </c>
      <c r="U54" s="1690"/>
      <c r="V54" s="1690"/>
      <c r="W54" s="1690"/>
      <c r="X54" s="1690"/>
      <c r="Y54" s="1690"/>
      <c r="Z54" s="1690"/>
      <c r="AA54" s="1690"/>
      <c r="AB54" s="1690"/>
      <c r="AC54" s="1690"/>
      <c r="AD54" s="1690"/>
      <c r="AE54" s="1690"/>
      <c r="AF54" s="1690"/>
      <c r="AG54" s="1690"/>
      <c r="AH54" s="1690"/>
      <c r="AI54" s="1690"/>
      <c r="AJ54" s="1690"/>
      <c r="AK54" s="1690"/>
      <c r="AL54" s="1690"/>
      <c r="AM54" s="1690"/>
      <c r="AO54" s="1150"/>
      <c r="AP54" s="1150" t="str">
        <f>IF(T54="","",T54)</f>
        <v>Добавить источник для дифференциации</v>
      </c>
      <c r="AQ54" s="1150"/>
      <c r="AR54" s="1150"/>
    </row>
    <row s="32198" customFormat="1" customHeight="1" ht="0.75">
      <c r="A55" s="1709" t="s">
        <v>198</v>
      </c>
      <c r="B55" s="1709" t="s">
        <v>199</v>
      </c>
      <c r="C55" s="1680"/>
      <c r="D55" s="1680"/>
      <c r="E55" s="2528"/>
      <c r="F55" s="2527"/>
      <c r="G55" s="1680"/>
      <c r="H55" s="1680"/>
      <c r="I55" s="1680"/>
      <c r="J55" s="1680"/>
      <c r="K55" s="1680"/>
      <c r="L55" s="1705"/>
      <c r="M55" s="1687"/>
      <c r="N55" s="1687"/>
      <c r="P55" s="1682"/>
      <c r="Q55" s="1683"/>
      <c r="R55" s="1682"/>
      <c r="S55" s="1688"/>
      <c r="T55" s="1691" t="s">
        <v>262</v>
      </c>
      <c r="U55" s="1690"/>
      <c r="V55" s="1690"/>
      <c r="W55" s="1690"/>
      <c r="X55" s="1690"/>
      <c r="Y55" s="1690"/>
      <c r="Z55" s="1690"/>
      <c r="AA55" s="1690"/>
      <c r="AB55" s="1690"/>
      <c r="AC55" s="1690"/>
      <c r="AD55" s="1690"/>
      <c r="AE55" s="1690"/>
      <c r="AF55" s="1690"/>
      <c r="AG55" s="1690"/>
      <c r="AH55" s="1690"/>
      <c r="AI55" s="1690"/>
      <c r="AJ55" s="1690"/>
      <c r="AK55" s="1690"/>
      <c r="AL55" s="1690"/>
      <c r="AM55" s="1690"/>
      <c r="AO55" s="1150"/>
      <c r="AP55" s="1150" t="str">
        <f>IF(T55="","",T55)</f>
        <v>Добавить централизованную систему для дифференциации</v>
      </c>
      <c r="AQ55" s="1150"/>
      <c r="AR55" s="1150"/>
    </row>
    <row s="32289" customFormat="1" customHeight="1" ht="0.75">
      <c r="A56" s="1709" t="s">
        <v>198</v>
      </c>
      <c r="B56" s="1709"/>
      <c r="C56" s="1709"/>
      <c r="D56" s="1709"/>
      <c r="E56" s="2527"/>
      <c r="F56" s="1709"/>
      <c r="G56" s="1709"/>
      <c r="H56" s="1709"/>
      <c r="I56" s="1709"/>
      <c r="J56" s="1709"/>
      <c r="K56" s="1709"/>
      <c r="L56" s="1712"/>
      <c r="M56" s="1687"/>
      <c r="N56" s="1687"/>
      <c r="O56" s="879"/>
      <c r="P56" s="741"/>
      <c r="Q56" s="1710"/>
      <c r="R56" s="741"/>
      <c r="S56" s="1688"/>
      <c r="T56" s="1691" t="s">
        <v>270</v>
      </c>
      <c r="U56" s="1690"/>
      <c r="V56" s="1690"/>
      <c r="W56" s="1690"/>
      <c r="X56" s="1690"/>
      <c r="Y56" s="1690"/>
      <c r="Z56" s="1690"/>
      <c r="AA56" s="1690"/>
      <c r="AB56" s="1690"/>
      <c r="AC56" s="1690"/>
      <c r="AD56" s="1690"/>
      <c r="AE56" s="1690"/>
      <c r="AF56" s="1690"/>
      <c r="AG56" s="1690"/>
      <c r="AH56" s="1690"/>
      <c r="AI56" s="1690"/>
      <c r="AJ56" s="1690"/>
      <c r="AK56" s="1690"/>
      <c r="AL56" s="1690"/>
      <c r="AM56" s="1690"/>
      <c r="AO56" s="861"/>
      <c r="AP56" s="861" t="str">
        <f>IF(T56="","",T56)</f>
        <v>Добавить территорию для дифференциации</v>
      </c>
      <c r="AQ56" s="861"/>
      <c r="AR56" s="861"/>
    </row>
    <row s="32198" customFormat="1" customHeight="1" ht="0.75">
      <c r="A57" s="1680"/>
      <c r="B57" s="1680"/>
      <c r="C57" s="1680"/>
      <c r="D57" s="1680"/>
      <c r="E57" s="1709"/>
      <c r="F57" s="1680"/>
      <c r="G57" s="1680"/>
      <c r="H57" s="1680"/>
      <c r="I57" s="1680"/>
      <c r="J57" s="1680"/>
      <c r="K57" s="1680"/>
      <c r="L57" s="1705"/>
      <c r="M57" s="1687"/>
      <c r="N57" s="1687"/>
      <c r="P57" s="1682"/>
      <c r="Q57" s="1683"/>
      <c r="R57" s="1682"/>
      <c r="S57" s="1688"/>
      <c r="T57" s="1691" t="s">
        <v>294</v>
      </c>
      <c r="U57" s="1690"/>
      <c r="V57" s="1690"/>
      <c r="W57" s="1690"/>
      <c r="X57" s="1690"/>
      <c r="Y57" s="1690"/>
      <c r="Z57" s="1690"/>
      <c r="AA57" s="1690"/>
      <c r="AB57" s="1690"/>
      <c r="AC57" s="1690"/>
      <c r="AD57" s="1690"/>
      <c r="AE57" s="1690"/>
      <c r="AF57" s="1690"/>
      <c r="AG57" s="1690"/>
      <c r="AH57" s="1690"/>
      <c r="AI57" s="1690"/>
      <c r="AJ57" s="1690"/>
      <c r="AK57" s="1690"/>
      <c r="AL57" s="1690"/>
      <c r="AM57" s="1690"/>
      <c r="AO57" s="1150"/>
      <c r="AP57" s="1150" t="str">
        <f>IF(T57="","",T57)</f>
        <v>Добавить наименование тарифа</v>
      </c>
      <c r="AQ57" s="1150"/>
      <c r="AR57" s="1150"/>
    </row>
    <row customHeight="1" ht="11.25">
      <c r="M58" s="1523"/>
      <c r="N58" s="1523"/>
      <c r="O58" s="898"/>
      <c r="P58" s="1518"/>
      <c r="Q58" s="1518"/>
      <c r="R58" s="1518"/>
      <c r="S58" s="1518"/>
      <c r="AN58" s="1518"/>
      <c r="AO58" s="1518"/>
      <c r="AP58" s="1518"/>
      <c r="AQ58" s="1518"/>
      <c r="AR58" s="1518"/>
    </row>
    <row customHeight="1" ht="27">
      <c r="O59" s="898"/>
      <c r="S59" s="1618"/>
      <c r="T59" s="2526"/>
      <c r="U59" s="2526"/>
      <c r="V59" s="2526"/>
      <c r="W59" s="2526"/>
      <c r="X59" s="2526"/>
      <c r="Y59" s="2526"/>
      <c r="Z59" s="2526"/>
      <c r="AA59" s="2526"/>
      <c r="AB59" s="2526"/>
      <c r="AC59" s="2526"/>
      <c r="AD59" s="2526"/>
      <c r="AE59" s="2526"/>
      <c r="AF59" s="2526"/>
      <c r="AG59" s="2526"/>
      <c r="AH59" s="2526"/>
      <c r="AI59" s="2526"/>
      <c r="AJ59" s="2526"/>
      <c r="AK59" s="2526"/>
      <c r="AL59" s="2526"/>
      <c r="AM59" s="2526"/>
    </row>
    <row customHeight="1" ht="75">
      <c r="O60" s="898"/>
      <c r="T60" s="2526"/>
      <c r="U60" s="2526"/>
      <c r="V60" s="2526"/>
      <c r="W60" s="2526"/>
      <c r="X60" s="2526"/>
      <c r="Y60" s="2526"/>
      <c r="Z60" s="2526"/>
      <c r="AA60" s="2526"/>
      <c r="AB60" s="2526"/>
      <c r="AC60" s="2526"/>
      <c r="AD60" s="2526"/>
      <c r="AE60" s="2526"/>
      <c r="AF60" s="2526"/>
      <c r="AG60" s="2526"/>
      <c r="AH60" s="2526"/>
      <c r="AI60" s="2526"/>
      <c r="AJ60" s="2526"/>
      <c r="AK60" s="2526"/>
      <c r="AL60" s="2526"/>
      <c r="AM60" s="2526"/>
    </row>
    <row customHeight="1" ht="14.25">
      <c r="O61" s="898"/>
    </row>
    <row customHeight="1" ht="18">
      <c r="O62" s="898"/>
      <c r="S62" s="1618"/>
      <c r="T62" s="2526"/>
      <c r="U62" s="2526"/>
      <c r="V62" s="2526"/>
      <c r="W62" s="2526"/>
      <c r="X62" s="2526"/>
      <c r="Y62" s="2526"/>
      <c r="Z62" s="2526"/>
      <c r="AA62" s="2526"/>
      <c r="AB62" s="2526"/>
      <c r="AC62" s="2526"/>
      <c r="AD62" s="2526"/>
      <c r="AE62" s="2526"/>
      <c r="AF62" s="2526"/>
      <c r="AG62" s="2526"/>
      <c r="AH62" s="2526"/>
      <c r="AI62" s="2526"/>
      <c r="AJ62" s="2526"/>
      <c r="AK62" s="2526"/>
      <c r="AL62" s="2526"/>
      <c r="AM62" s="2526"/>
    </row>
    <row customHeight="1" ht="18">
      <c r="O63" s="898"/>
      <c r="T63" s="2526"/>
      <c r="U63" s="2526"/>
      <c r="V63" s="2526"/>
      <c r="W63" s="2526"/>
      <c r="X63" s="2526"/>
      <c r="Y63" s="2526"/>
      <c r="Z63" s="2526"/>
      <c r="AA63" s="2526"/>
      <c r="AB63" s="2526"/>
      <c r="AC63" s="2526"/>
      <c r="AD63" s="2526"/>
      <c r="AE63" s="2526"/>
      <c r="AF63" s="2526"/>
      <c r="AG63" s="2526"/>
      <c r="AH63" s="2526"/>
      <c r="AI63" s="2526"/>
      <c r="AJ63" s="2526"/>
      <c r="AK63" s="2526"/>
      <c r="AL63" s="2526"/>
      <c r="AM63" s="2526"/>
    </row>
    <row customHeight="1" ht="38.25">
      <c r="O64" s="898"/>
      <c r="S64" s="1618"/>
      <c r="T64" s="2526"/>
      <c r="U64" s="2526"/>
      <c r="V64" s="2526"/>
      <c r="W64" s="2526"/>
      <c r="X64" s="2526"/>
      <c r="Y64" s="2526"/>
      <c r="Z64" s="2526"/>
      <c r="AA64" s="2526"/>
      <c r="AB64" s="2526"/>
      <c r="AC64" s="2526"/>
      <c r="AD64" s="2526"/>
      <c r="AE64" s="2526"/>
      <c r="AF64" s="2526"/>
      <c r="AG64" s="2526"/>
      <c r="AH64" s="2526"/>
      <c r="AI64" s="2526"/>
      <c r="AJ64" s="2526"/>
      <c r="AK64" s="2526"/>
      <c r="AL64" s="2526"/>
      <c r="AM64" s="2526"/>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475B8-AF4E-2CFE-5C67-A287985579E4}"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217" width="10.57421875" hidden="1"/>
    <col min="2" max="2" style="32217" width="11.00390625" hidden="1" customWidth="1"/>
    <col min="3" max="3" style="32217" width="10.57421875" hidden="1"/>
    <col min="4" max="4" style="32217" width="11.8515625" hidden="1" customWidth="1"/>
    <col min="5" max="5" style="32217" width="10.00390625" hidden="1" customWidth="1"/>
    <col min="6" max="6" style="32217" width="8.7109375" hidden="1" customWidth="1"/>
    <col min="7" max="7" style="32217" width="7.57421875" hidden="1" customWidth="1"/>
    <col min="8" max="8" style="32217" width="11.421875" hidden="1" customWidth="1"/>
    <col min="9" max="9" style="32217" width="12.00390625" hidden="1" customWidth="1"/>
    <col min="10" max="10" style="32217" width="9.8515625" hidden="1" customWidth="1"/>
    <col min="11" max="11" style="32217" width="11.421875" hidden="1" customWidth="1"/>
    <col min="12" max="12" style="32297" width="19.140625" hidden="1" customWidth="1"/>
    <col min="13" max="14" style="32298" width="12.28125" hidden="1" customWidth="1"/>
    <col min="15" max="15" style="32298" width="23.421875" hidden="1" customWidth="1"/>
    <col min="16" max="16" style="32310" width="3.7109375" hidden="1" customWidth="1"/>
    <col min="17" max="18" style="32300" width="3.7109375" customWidth="1"/>
    <col min="19" max="19" style="32301" width="12.7109375" customWidth="1"/>
    <col min="20" max="20" style="32302" width="32.00390625" customWidth="1"/>
    <col min="21" max="21" style="32302" width="0.140625" customWidth="1"/>
    <col min="22" max="22" style="32302" width="24.7109375" hidden="1" customWidth="1"/>
    <col min="23" max="23" style="32302" width="0.140625" hidden="1" customWidth="1"/>
    <col min="24" max="25" style="32302" width="24.7109375" hidden="1" customWidth="1"/>
    <col min="26" max="26" style="32302" width="11.7109375" hidden="1" customWidth="1"/>
    <col min="27" max="27" style="32302" width="3.7109375" hidden="1" customWidth="1"/>
    <col min="28" max="28" style="32302" width="11.7109375" hidden="1" customWidth="1"/>
    <col min="29" max="29" style="32302" width="8.57421875" hidden="1" customWidth="1"/>
    <col min="30" max="30" style="32302" width="24.7109375" customWidth="1"/>
    <col min="31" max="31" style="32302" width="0.140625" customWidth="1"/>
    <col min="32" max="33" style="32302" width="24.7109375" customWidth="1"/>
    <col min="34" max="34" style="32302" width="11.7109375" customWidth="1"/>
    <col min="35" max="35" style="32302" width="3.7109375" customWidth="1"/>
    <col min="36" max="36" style="32302" width="11.7109375" customWidth="1"/>
    <col min="37" max="37" style="32302" width="8.57421875" hidden="1" customWidth="1"/>
    <col min="38" max="38" style="32302" width="4.7109375" customWidth="1"/>
    <col min="39" max="39" style="32302" width="115.7109375" customWidth="1"/>
    <col min="40" max="41" style="32289" width="10.57421875"/>
    <col min="42" max="42" style="32289" width="11.140625" customWidth="1"/>
    <col min="43" max="44" style="32289" width="10.57421875"/>
  </cols>
  <sheetData>
    <row customHeight="1" ht="14.25" hidden="1">
      <c r="Y1" s="688"/>
      <c r="Z1" s="688"/>
      <c r="AG1" s="688"/>
      <c r="AH1" s="688"/>
    </row>
    <row customHeight="1" ht="21" hidden="1">
      <c r="A2" s="1729"/>
      <c r="B2" s="1729"/>
      <c r="C2" s="1729"/>
      <c r="D2" s="1729"/>
      <c r="E2" s="2527">
        <v>1</v>
      </c>
      <c r="F2" s="1729"/>
      <c r="G2" s="1729"/>
      <c r="H2" s="1729"/>
      <c r="I2" s="1729"/>
      <c r="J2" s="1729"/>
      <c r="K2" s="1729"/>
      <c r="L2" s="1730"/>
      <c r="M2" s="1731"/>
      <c r="N2" s="1731"/>
      <c r="O2" s="1731"/>
      <c r="P2" s="722"/>
      <c r="Q2" s="721"/>
      <c r="R2" s="716"/>
      <c r="S2" s="1702">
        <f>INDEX(PT_DIFFERENTIATION_NUM_NTAR,MATCH(A2,PT_DIFFERENTIATION_NTAR_ID,0))</f>
      </c>
      <c r="T2" s="659" t="s">
        <v>131</v>
      </c>
      <c r="U2" s="661"/>
      <c r="V2" s="2521"/>
      <c r="W2" s="2522"/>
      <c r="X2" s="2522"/>
      <c r="Y2" s="2522"/>
      <c r="Z2" s="2522"/>
      <c r="AA2" s="2522"/>
      <c r="AB2" s="2522"/>
      <c r="AC2" s="2523"/>
      <c r="AD2" s="2521">
        <f>INDEX(PT_DIFFERENTIATION_NTAR,MATCH(A2,PT_DIFFERENTIATION_NTAR_ID,0))</f>
      </c>
      <c r="AE2" s="2522"/>
      <c r="AF2" s="2522"/>
      <c r="AG2" s="2522"/>
      <c r="AH2" s="2522"/>
      <c r="AI2" s="2522"/>
      <c r="AJ2" s="2522"/>
      <c r="AK2" s="2522"/>
      <c r="AL2" s="2523"/>
      <c r="AM2" s="1623" t="s">
        <v>437</v>
      </c>
      <c r="AO2" s="861"/>
      <c r="AP2" s="861" t="str">
        <f>IF(T2="","",T2)</f>
        <v>Наименование тарифа</v>
      </c>
      <c r="AQ2" s="861"/>
      <c r="AR2" s="861"/>
    </row>
    <row customHeight="1" ht="21" hidden="1">
      <c r="A3" s="1729"/>
      <c r="B3" s="1729"/>
      <c r="C3" s="1729"/>
      <c r="D3" s="1729"/>
      <c r="E3" s="2528"/>
      <c r="F3" s="2527">
        <v>1</v>
      </c>
      <c r="G3" s="1729"/>
      <c r="H3" s="1729"/>
      <c r="I3" s="1729"/>
      <c r="J3" s="1729"/>
      <c r="K3" s="1729"/>
      <c r="L3" s="1730"/>
      <c r="M3" s="1731"/>
      <c r="N3" s="1731"/>
      <c r="O3" s="1731"/>
      <c r="P3" s="1698"/>
      <c r="Q3" s="713"/>
      <c r="R3" s="714"/>
      <c r="S3" s="1702">
        <f>INDEX(PT_DIFFERENTIATION_NUM_TER,MATCH(B3,PT_DIFFERENTIATION_TER_ID,0))</f>
      </c>
      <c r="T3" s="669" t="s">
        <v>438</v>
      </c>
      <c r="U3" s="661"/>
      <c r="V3" s="2521"/>
      <c r="W3" s="2522"/>
      <c r="X3" s="2522"/>
      <c r="Y3" s="2522"/>
      <c r="Z3" s="2522"/>
      <c r="AA3" s="2522"/>
      <c r="AB3" s="2522"/>
      <c r="AC3" s="2523"/>
      <c r="AD3" s="2521">
        <f>INDEX(PT_DIFFERENTIATION_TER,MATCH(B3,PT_DIFFERENTIATION_TER_ID,0))</f>
      </c>
      <c r="AE3" s="2522"/>
      <c r="AF3" s="2522"/>
      <c r="AG3" s="2522"/>
      <c r="AH3" s="2522"/>
      <c r="AI3" s="2522"/>
      <c r="AJ3" s="2522"/>
      <c r="AK3" s="2522"/>
      <c r="AL3" s="2523"/>
      <c r="AM3" s="1623" t="s">
        <v>439</v>
      </c>
      <c r="AO3" s="861"/>
      <c r="AP3" s="861" t="str">
        <f>IF(T3="","",T3)</f>
        <v>Территория действия тарифа</v>
      </c>
      <c r="AQ3" s="861"/>
      <c r="AR3" s="861"/>
    </row>
    <row customHeight="1" ht="23.25" hidden="1">
      <c r="A4" s="1729"/>
      <c r="B4" s="1729"/>
      <c r="C4" s="1729"/>
      <c r="D4" s="1729"/>
      <c r="E4" s="2528"/>
      <c r="F4" s="2528"/>
      <c r="G4" s="2527">
        <v>1</v>
      </c>
      <c r="H4" s="1729"/>
      <c r="I4" s="1729"/>
      <c r="J4" s="1729"/>
      <c r="K4" s="1729"/>
      <c r="L4" s="1730"/>
      <c r="M4" s="1731"/>
      <c r="N4" s="1731"/>
      <c r="O4" s="1731"/>
      <c r="P4" s="715"/>
      <c r="Q4" s="713"/>
      <c r="R4" s="714"/>
      <c r="S4" s="1702">
        <f>INDEX(PT_DIFFERENTIATION_NUM_CS,MATCH(C4,PT_DIFFERENTIATION_CS_ID,0))</f>
      </c>
      <c r="T4" s="670" t="s">
        <v>440</v>
      </c>
      <c r="U4" s="661"/>
      <c r="V4" s="2521"/>
      <c r="W4" s="2522"/>
      <c r="X4" s="2522"/>
      <c r="Y4" s="2522"/>
      <c r="Z4" s="2522"/>
      <c r="AA4" s="2522"/>
      <c r="AB4" s="2522"/>
      <c r="AC4" s="2523"/>
      <c r="AD4" s="2521">
        <f>INDEX(PT_DIFFERENTIATION_CS,MATCH(C4,PT_DIFFERENTIATION_CS_ID,0))</f>
      </c>
      <c r="AE4" s="2522"/>
      <c r="AF4" s="2522"/>
      <c r="AG4" s="2522"/>
      <c r="AH4" s="2522"/>
      <c r="AI4" s="2522"/>
      <c r="AJ4" s="2522"/>
      <c r="AK4" s="2522"/>
      <c r="AL4" s="2523"/>
      <c r="AM4" s="1623" t="s">
        <v>441</v>
      </c>
      <c r="AO4" s="861"/>
      <c r="AP4" s="861" t="str">
        <f>IF(T4="","",T4)</f>
        <v>Наименование системы теплоснабжения </v>
      </c>
      <c r="AQ4" s="861"/>
      <c r="AR4" s="861"/>
    </row>
    <row customHeight="1" ht="21" hidden="1">
      <c r="A5" s="1729"/>
      <c r="B5" s="1729"/>
      <c r="C5" s="1729"/>
      <c r="D5" s="1729"/>
      <c r="E5" s="2528"/>
      <c r="F5" s="2528"/>
      <c r="G5" s="2528"/>
      <c r="H5" s="2527">
        <v>1</v>
      </c>
      <c r="I5" s="1729"/>
      <c r="J5" s="1729"/>
      <c r="K5" s="1729"/>
      <c r="L5" s="1730"/>
      <c r="M5" s="1731"/>
      <c r="N5" s="1731"/>
      <c r="O5" s="1731"/>
      <c r="P5" s="715"/>
      <c r="Q5" s="713"/>
      <c r="R5" s="714"/>
      <c r="S5" s="1702">
        <f>INDEX(PT_DIFFERENTIATION_NUM_IST_TE,MATCH(D5,PT_DIFFERENTIATION_IST_TE_ID,0))</f>
      </c>
      <c r="T5" s="671" t="s">
        <v>442</v>
      </c>
      <c r="U5" s="661"/>
      <c r="V5" s="2521"/>
      <c r="W5" s="2522"/>
      <c r="X5" s="2522"/>
      <c r="Y5" s="2522"/>
      <c r="Z5" s="2522"/>
      <c r="AA5" s="2522"/>
      <c r="AB5" s="2522"/>
      <c r="AC5" s="2523"/>
      <c r="AD5" s="2521">
        <f>INDEX(PT_DIFFERENTIATION_IST_TE,MATCH(D5,PT_DIFFERENTIATION_IST_TE_ID,0))</f>
      </c>
      <c r="AE5" s="2522"/>
      <c r="AF5" s="2522"/>
      <c r="AG5" s="2522"/>
      <c r="AH5" s="2522"/>
      <c r="AI5" s="2522"/>
      <c r="AJ5" s="2522"/>
      <c r="AK5" s="2522"/>
      <c r="AL5" s="2523"/>
      <c r="AM5" s="1623" t="s">
        <v>443</v>
      </c>
      <c r="AO5" s="861"/>
      <c r="AP5" s="861" t="str">
        <f>IF(T5="","",T5)</f>
        <v>Источник тепловой энергии  </v>
      </c>
      <c r="AQ5" s="861"/>
      <c r="AR5" s="861"/>
    </row>
    <row customHeight="1" ht="14.25" hidden="1">
      <c r="A6" s="1729"/>
      <c r="B6" s="1729"/>
      <c r="C6" s="1729"/>
      <c r="D6" s="1729"/>
      <c r="E6" s="2528"/>
      <c r="F6" s="2528"/>
      <c r="G6" s="2528"/>
      <c r="H6" s="2528"/>
      <c r="I6" s="2529">
        <f>S5&amp;".1"</f>
      </c>
      <c r="J6" s="1729"/>
      <c r="K6" s="1729"/>
      <c r="L6" s="1730" t="s">
        <v>444</v>
      </c>
      <c r="M6" s="898"/>
      <c r="P6" s="2531">
        <v>1</v>
      </c>
      <c r="Q6" s="1697"/>
      <c r="R6" s="717"/>
      <c r="S6" s="1404"/>
      <c r="T6" s="1749"/>
      <c r="U6" s="1750"/>
      <c r="V6" s="2569"/>
      <c r="W6" s="2570"/>
      <c r="X6" s="2570"/>
      <c r="Y6" s="2570"/>
      <c r="Z6" s="2570"/>
      <c r="AA6" s="2570"/>
      <c r="AB6" s="2570"/>
      <c r="AC6" s="2571"/>
      <c r="AD6" s="2569"/>
      <c r="AE6" s="2570"/>
      <c r="AF6" s="2570"/>
      <c r="AG6" s="2570"/>
      <c r="AH6" s="2570"/>
      <c r="AI6" s="2570"/>
      <c r="AJ6" s="2570"/>
      <c r="AK6" s="2570"/>
      <c r="AL6" s="2571"/>
      <c r="AM6" s="1751"/>
      <c r="AO6" s="861"/>
      <c r="AP6" s="861" t="str">
        <f>IF(T6="","",T6)</f>
        <v/>
      </c>
      <c r="AQ6" s="861"/>
      <c r="AR6" s="861"/>
    </row>
    <row customHeight="1" ht="21" hidden="1">
      <c r="A7" s="1729"/>
      <c r="B7" s="1729"/>
      <c r="C7" s="1729"/>
      <c r="D7" s="1729"/>
      <c r="E7" s="2528"/>
      <c r="F7" s="2528"/>
      <c r="G7" s="2528"/>
      <c r="H7" s="2528"/>
      <c r="I7" s="2530"/>
      <c r="J7" s="2529">
        <f>I6&amp;".1"</f>
      </c>
      <c r="K7" s="1729"/>
      <c r="L7" s="1730" t="s">
        <v>447</v>
      </c>
      <c r="M7" s="898"/>
      <c r="N7" s="1732"/>
      <c r="P7" s="2531"/>
      <c r="Q7" s="2531">
        <v>1</v>
      </c>
      <c r="R7" s="718"/>
      <c r="S7" s="1702">
        <f>$J7</f>
      </c>
      <c r="T7" s="647" t="s">
        <v>448</v>
      </c>
      <c r="U7" s="661"/>
      <c r="V7" s="2515"/>
      <c r="W7" s="2516"/>
      <c r="X7" s="2516"/>
      <c r="Y7" s="2516"/>
      <c r="Z7" s="2516"/>
      <c r="AA7" s="2516"/>
      <c r="AB7" s="2516"/>
      <c r="AC7" s="2517"/>
      <c r="AD7" s="2515"/>
      <c r="AE7" s="2516"/>
      <c r="AF7" s="2516"/>
      <c r="AG7" s="2516"/>
      <c r="AH7" s="2516"/>
      <c r="AI7" s="2516"/>
      <c r="AJ7" s="2516"/>
      <c r="AK7" s="2516"/>
      <c r="AL7" s="2517"/>
      <c r="AM7" s="1623" t="s">
        <v>449</v>
      </c>
      <c r="AO7" s="861"/>
      <c r="AP7" s="861" t="str">
        <f>IF(T7="","",T7)</f>
        <v>Группа потребителей</v>
      </c>
      <c r="AQ7" s="861"/>
      <c r="AR7" s="861"/>
    </row>
    <row customHeight="1" ht="21" hidden="1">
      <c r="A8" s="1729"/>
      <c r="B8" s="1729"/>
      <c r="C8" s="1729"/>
      <c r="D8" s="1729"/>
      <c r="E8" s="2528"/>
      <c r="F8" s="2528"/>
      <c r="G8" s="2528"/>
      <c r="H8" s="2528"/>
      <c r="I8" s="2530"/>
      <c r="J8" s="2530"/>
      <c r="K8" s="2529">
        <f>J7&amp;".1"</f>
      </c>
      <c r="L8" s="1730" t="s">
        <v>450</v>
      </c>
      <c r="M8" s="898"/>
      <c r="N8" s="1732"/>
      <c r="O8" s="1732"/>
      <c r="P8" s="2531"/>
      <c r="Q8" s="2531"/>
      <c r="R8" s="718">
        <v>1</v>
      </c>
      <c r="S8" s="1702">
        <f>$K8</f>
      </c>
      <c r="T8" s="1713"/>
      <c r="U8" s="661"/>
      <c r="V8" s="1112"/>
      <c r="W8" s="686"/>
      <c r="X8" s="1112"/>
      <c r="Y8" s="1622"/>
      <c r="Z8" s="2532"/>
      <c r="AA8" s="2402" t="s">
        <v>66</v>
      </c>
      <c r="AB8" s="2532"/>
      <c r="AC8" s="2402" t="s">
        <v>66</v>
      </c>
      <c r="AD8" s="1112"/>
      <c r="AE8" s="686"/>
      <c r="AF8" s="1112"/>
      <c r="AG8" s="1622"/>
      <c r="AH8" s="2532"/>
      <c r="AI8" s="2402" t="s">
        <v>66</v>
      </c>
      <c r="AJ8" s="2532"/>
      <c r="AK8" s="2402" t="s">
        <v>66</v>
      </c>
      <c r="AL8" s="686"/>
      <c r="AM8" s="2557" t="s">
        <v>451</v>
      </c>
      <c r="AN8" s="872">
        <f>STRCHECKDATE(V9:AL9)</f>
      </c>
      <c r="AO8" s="861"/>
      <c r="AP8" s="861" t="str">
        <f>IF(T8="","",T8)</f>
        <v/>
      </c>
      <c r="AQ8" s="861"/>
      <c r="AR8" s="861"/>
    </row>
    <row customHeight="1" ht="0.75" hidden="1">
      <c r="A9" s="1729"/>
      <c r="B9" s="1729"/>
      <c r="C9" s="1729"/>
      <c r="D9" s="1729"/>
      <c r="E9" s="2528"/>
      <c r="F9" s="2528"/>
      <c r="G9" s="2528"/>
      <c r="H9" s="2528"/>
      <c r="I9" s="2530"/>
      <c r="J9" s="2530"/>
      <c r="K9" s="2529"/>
      <c r="L9" s="1730"/>
      <c r="M9" s="898"/>
      <c r="N9" s="1732"/>
      <c r="O9" s="1732"/>
      <c r="P9" s="2531"/>
      <c r="Q9" s="2531"/>
      <c r="R9" s="718"/>
      <c r="S9" s="1708"/>
      <c r="T9" s="661"/>
      <c r="U9" s="661"/>
      <c r="V9" s="686"/>
      <c r="W9" s="686"/>
      <c r="X9" s="686"/>
      <c r="Y9" s="689" t="str">
        <f>Z8&amp;"-"&amp;AB8</f>
        <v>-</v>
      </c>
      <c r="Z9" s="2533"/>
      <c r="AA9" s="2402"/>
      <c r="AB9" s="2533"/>
      <c r="AC9" s="2402"/>
      <c r="AD9" s="686"/>
      <c r="AE9" s="686"/>
      <c r="AF9" s="686"/>
      <c r="AG9" s="689" t="str">
        <f>AH8&amp;"-"&amp;AJ8</f>
        <v>-</v>
      </c>
      <c r="AH9" s="2533"/>
      <c r="AI9" s="2402"/>
      <c r="AJ9" s="2533"/>
      <c r="AK9" s="2402"/>
      <c r="AL9" s="686"/>
      <c r="AM9" s="2558"/>
      <c r="AO9" s="861"/>
      <c r="AP9" s="861" t="str">
        <f>IF(T9="","",T9)</f>
        <v/>
      </c>
      <c r="AQ9" s="861"/>
      <c r="AR9" s="861"/>
    </row>
    <row customHeight="1" ht="15" hidden="1">
      <c r="A10" s="1729"/>
      <c r="B10" s="1729"/>
      <c r="C10" s="1729"/>
      <c r="D10" s="1729"/>
      <c r="E10" s="2528"/>
      <c r="F10" s="2528"/>
      <c r="G10" s="2528"/>
      <c r="H10" s="2528"/>
      <c r="I10" s="2530"/>
      <c r="J10" s="2529"/>
      <c r="K10" s="1729"/>
      <c r="L10" s="1730"/>
      <c r="M10" s="898"/>
      <c r="N10" s="1732"/>
      <c r="P10" s="2531"/>
      <c r="Q10" s="2531"/>
      <c r="R10" s="717"/>
      <c r="S10" s="1644"/>
      <c r="T10" s="648" t="s">
        <v>452</v>
      </c>
      <c r="U10" s="728"/>
      <c r="V10" s="728"/>
      <c r="W10" s="728"/>
      <c r="X10" s="728"/>
      <c r="Y10" s="728"/>
      <c r="Z10" s="728"/>
      <c r="AA10" s="728"/>
      <c r="AB10" s="728"/>
      <c r="AC10" s="728"/>
      <c r="AD10" s="728"/>
      <c r="AE10" s="728"/>
      <c r="AF10" s="728"/>
      <c r="AG10" s="728"/>
      <c r="AH10" s="728"/>
      <c r="AI10" s="728"/>
      <c r="AJ10" s="728"/>
      <c r="AK10" s="728"/>
      <c r="AL10" s="685"/>
      <c r="AM10" s="2559"/>
      <c r="AO10" s="861"/>
      <c r="AP10" s="861" t="str">
        <f>IF(T10="","",T10)</f>
        <v>Добавить вид теплоносителя (параметры теплоносителя)</v>
      </c>
      <c r="AQ10" s="861"/>
      <c r="AR10" s="861"/>
    </row>
    <row customHeight="1" ht="15" hidden="1">
      <c r="A11" s="1729"/>
      <c r="B11" s="1729"/>
      <c r="C11" s="1729"/>
      <c r="D11" s="1729"/>
      <c r="E11" s="2528"/>
      <c r="F11" s="2528"/>
      <c r="G11" s="2528"/>
      <c r="H11" s="2528"/>
      <c r="I11" s="2529"/>
      <c r="J11" s="1729"/>
      <c r="K11" s="1729"/>
      <c r="L11" s="1730"/>
      <c r="M11" s="898"/>
      <c r="P11" s="2531"/>
      <c r="Q11" s="1697"/>
      <c r="R11" s="717"/>
      <c r="S11" s="1644"/>
      <c r="T11" s="726" t="s">
        <v>453</v>
      </c>
      <c r="U11" s="728"/>
      <c r="V11" s="728"/>
      <c r="W11" s="728"/>
      <c r="X11" s="728"/>
      <c r="Y11" s="728"/>
      <c r="Z11" s="728"/>
      <c r="AA11" s="728"/>
      <c r="AB11" s="728"/>
      <c r="AC11" s="727"/>
      <c r="AD11" s="728"/>
      <c r="AE11" s="728"/>
      <c r="AF11" s="728"/>
      <c r="AG11" s="728"/>
      <c r="AH11" s="728"/>
      <c r="AI11" s="728"/>
      <c r="AJ11" s="728"/>
      <c r="AK11" s="727"/>
      <c r="AL11" s="728"/>
      <c r="AM11" s="664"/>
      <c r="AO11" s="861"/>
      <c r="AP11" s="861" t="str">
        <f>IF(T11="","",T11)</f>
        <v>Добавить группу потребителей</v>
      </c>
      <c r="AQ11" s="861"/>
      <c r="AR11" s="861"/>
    </row>
    <row customHeight="1" ht="14.25" hidden="1">
      <c r="A12" s="1729"/>
      <c r="B12" s="1729"/>
      <c r="C12" s="1729"/>
      <c r="D12" s="1729"/>
      <c r="E12" s="2528"/>
      <c r="F12" s="2528"/>
      <c r="G12" s="2528"/>
      <c r="H12" s="2527"/>
      <c r="I12" s="1729"/>
      <c r="J12" s="1729"/>
      <c r="K12" s="1729"/>
      <c r="L12" s="1730"/>
      <c r="M12" s="1731"/>
      <c r="N12" s="1731"/>
      <c r="O12" s="898"/>
      <c r="P12" s="721"/>
      <c r="Q12" s="736"/>
      <c r="R12" s="716"/>
      <c r="S12" s="1752"/>
      <c r="T12" s="1753"/>
      <c r="U12" s="1754"/>
      <c r="V12" s="1754"/>
      <c r="W12" s="1754"/>
      <c r="X12" s="1754"/>
      <c r="Y12" s="1754"/>
      <c r="Z12" s="1754"/>
      <c r="AA12" s="1754"/>
      <c r="AB12" s="1754"/>
      <c r="AC12" s="1754"/>
      <c r="AD12" s="1754"/>
      <c r="AE12" s="1754"/>
      <c r="AF12" s="1754"/>
      <c r="AG12" s="1754"/>
      <c r="AH12" s="1754"/>
      <c r="AI12" s="1754"/>
      <c r="AJ12" s="1754"/>
      <c r="AK12" s="1754"/>
      <c r="AL12" s="1754"/>
      <c r="AM12" s="1755"/>
      <c r="AO12" s="861"/>
      <c r="AP12" s="861" t="str">
        <f>IF(T12="","",T12)</f>
        <v/>
      </c>
      <c r="AQ12" s="861"/>
      <c r="AR12" s="861"/>
    </row>
    <row s="32198" customFormat="1" customHeight="1" ht="0.75" hidden="1">
      <c r="A13" s="1680"/>
      <c r="B13" s="1680"/>
      <c r="C13" s="1680"/>
      <c r="D13" s="1680"/>
      <c r="E13" s="2528"/>
      <c r="F13" s="2528"/>
      <c r="G13" s="2527"/>
      <c r="H13" s="1680"/>
      <c r="I13" s="1680"/>
      <c r="J13" s="1680"/>
      <c r="K13" s="1680"/>
      <c r="L13" s="1705"/>
      <c r="M13" s="1681"/>
      <c r="N13" s="1681"/>
      <c r="P13" s="1682"/>
      <c r="Q13" s="1683"/>
      <c r="R13" s="1682"/>
      <c r="S13" s="1684"/>
      <c r="T13" s="1685" t="s">
        <v>455</v>
      </c>
      <c r="U13" s="1686"/>
      <c r="V13" s="1686"/>
      <c r="W13" s="1686"/>
      <c r="X13" s="1686"/>
      <c r="Y13" s="1686"/>
      <c r="Z13" s="1686"/>
      <c r="AA13" s="1686"/>
      <c r="AB13" s="1686"/>
      <c r="AC13" s="1686"/>
      <c r="AD13" s="1686"/>
      <c r="AE13" s="1686"/>
      <c r="AF13" s="1686"/>
      <c r="AG13" s="1686"/>
      <c r="AH13" s="1686"/>
      <c r="AI13" s="1686"/>
      <c r="AJ13" s="1686"/>
      <c r="AK13" s="1686"/>
      <c r="AL13" s="1686"/>
      <c r="AM13" s="1686"/>
      <c r="AO13" s="1150"/>
      <c r="AP13" s="1150" t="str">
        <f>IF(T13="","",T13)</f>
        <v>Добавить источник для дифференциации</v>
      </c>
      <c r="AQ13" s="1150"/>
      <c r="AR13" s="1150"/>
    </row>
    <row s="32198" customFormat="1" customHeight="1" ht="0.75" hidden="1">
      <c r="A14" s="1680"/>
      <c r="B14" s="1680"/>
      <c r="C14" s="1680"/>
      <c r="D14" s="1680"/>
      <c r="E14" s="2528"/>
      <c r="F14" s="2527"/>
      <c r="G14" s="1680"/>
      <c r="H14" s="1680"/>
      <c r="I14" s="1680"/>
      <c r="J14" s="1680"/>
      <c r="K14" s="1680"/>
      <c r="L14" s="1705"/>
      <c r="M14" s="1687"/>
      <c r="N14" s="1687"/>
      <c r="P14" s="1682"/>
      <c r="Q14" s="1683"/>
      <c r="R14" s="1682"/>
      <c r="S14" s="1688"/>
      <c r="T14" s="1689" t="s">
        <v>262</v>
      </c>
      <c r="U14" s="1690"/>
      <c r="V14" s="1690"/>
      <c r="W14" s="1690"/>
      <c r="X14" s="1690"/>
      <c r="Y14" s="1690"/>
      <c r="Z14" s="1690"/>
      <c r="AA14" s="1690"/>
      <c r="AB14" s="1690"/>
      <c r="AC14" s="1690"/>
      <c r="AD14" s="1690"/>
      <c r="AE14" s="1690"/>
      <c r="AF14" s="1690"/>
      <c r="AG14" s="1690"/>
      <c r="AH14" s="1690"/>
      <c r="AI14" s="1690"/>
      <c r="AJ14" s="1690"/>
      <c r="AK14" s="1690"/>
      <c r="AL14" s="1690"/>
      <c r="AM14" s="1690"/>
      <c r="AO14" s="1150"/>
      <c r="AP14" s="1150" t="str">
        <f>IF(T14="","",T14)</f>
        <v>Добавить централизованную систему для дифференциации</v>
      </c>
      <c r="AQ14" s="1150"/>
      <c r="AR14" s="1150"/>
    </row>
    <row s="32198" customFormat="1" customHeight="1" ht="0.75" hidden="1">
      <c r="A15" s="1680"/>
      <c r="B15" s="1680"/>
      <c r="C15" s="1680"/>
      <c r="D15" s="1680"/>
      <c r="E15" s="2527"/>
      <c r="F15" s="1680"/>
      <c r="G15" s="1680"/>
      <c r="H15" s="1680"/>
      <c r="I15" s="1680"/>
      <c r="J15" s="1680"/>
      <c r="K15" s="1680"/>
      <c r="L15" s="1705"/>
      <c r="M15" s="1687"/>
      <c r="N15" s="1687"/>
      <c r="P15" s="1682"/>
      <c r="Q15" s="1683"/>
      <c r="R15" s="1682"/>
      <c r="S15" s="1688"/>
      <c r="T15" s="1691" t="s">
        <v>270</v>
      </c>
      <c r="U15" s="1690"/>
      <c r="V15" s="1690"/>
      <c r="W15" s="1690"/>
      <c r="X15" s="1690"/>
      <c r="Y15" s="1690"/>
      <c r="Z15" s="1690"/>
      <c r="AA15" s="1690"/>
      <c r="AB15" s="1690"/>
      <c r="AC15" s="1690"/>
      <c r="AD15" s="1690"/>
      <c r="AE15" s="1690"/>
      <c r="AF15" s="1690"/>
      <c r="AG15" s="1690"/>
      <c r="AH15" s="1690"/>
      <c r="AI15" s="1690"/>
      <c r="AJ15" s="1690"/>
      <c r="AK15" s="1690"/>
      <c r="AL15" s="1690"/>
      <c r="AM15" s="1690"/>
      <c r="AO15" s="1150"/>
      <c r="AP15" s="1150" t="str">
        <f>IF(T15="","",T15)</f>
        <v>Добавить территорию для дифференциации</v>
      </c>
      <c r="AQ15" s="1150"/>
      <c r="AR15" s="1150"/>
    </row>
    <row customHeight="1" ht="14.25" hidden="1">
      <c r="AC16" s="688"/>
      <c r="AK16" s="688"/>
    </row>
    <row customHeight="1" ht="14.25" hidden="1">
      <c r="AD17" s="1726"/>
      <c r="AE17" s="1726"/>
      <c r="AF17" s="1726"/>
      <c r="AG17" s="1727"/>
      <c r="AH17" s="2525"/>
      <c r="AI17" s="2524" t="s">
        <v>66</v>
      </c>
      <c r="AJ17" s="2525"/>
      <c r="AK17" s="2524" t="s">
        <v>66</v>
      </c>
    </row>
    <row customHeight="1" ht="14.25" hidden="1">
      <c r="AD18" s="1726"/>
      <c r="AE18" s="1726"/>
      <c r="AF18" s="1726"/>
      <c r="AG18" s="689" t="str">
        <f>AH17&amp;"-"&amp;AJ17</f>
        <v>-</v>
      </c>
      <c r="AH18" s="2524"/>
      <c r="AI18" s="2524"/>
      <c r="AJ18" s="2524"/>
      <c r="AK18" s="2524"/>
    </row>
    <row customHeight="1" ht="14.25" hidden="1">
      <c r="AK19" s="688"/>
    </row>
    <row s="32217" customFormat="1" customHeight="1" ht="22.5" hidden="1">
      <c r="L20" s="1695"/>
      <c r="M20" s="1728"/>
      <c r="N20" s="1728"/>
      <c r="O20" s="1733" t="s">
        <v>456</v>
      </c>
      <c r="P20" s="1728"/>
      <c r="Q20" s="1737"/>
      <c r="R20" s="1737"/>
      <c r="S20" s="1090"/>
      <c r="Z20" s="1733"/>
      <c r="AB20" s="1733"/>
      <c r="AC20" s="1732"/>
      <c r="AH20" s="1733"/>
      <c r="AJ20" s="1733"/>
      <c r="AK20" s="1732"/>
      <c r="AN20" s="872"/>
      <c r="AO20" s="872"/>
      <c r="AP20" s="872"/>
      <c r="AQ20" s="872"/>
      <c r="AR20" s="872"/>
    </row>
    <row s="32217" customFormat="1" customHeight="1" ht="14.25" hidden="1">
      <c r="L21" s="1695"/>
      <c r="M21" s="1728"/>
      <c r="N21" s="1728"/>
      <c r="O21" s="1728"/>
      <c r="P21" s="1728"/>
      <c r="Q21" s="1737"/>
      <c r="R21" s="1737"/>
      <c r="S21" s="1090"/>
      <c r="AC21" s="1732"/>
      <c r="AK21" s="1732"/>
      <c r="AN21" s="872"/>
      <c r="AO21" s="872"/>
      <c r="AP21" s="872"/>
      <c r="AQ21" s="872"/>
      <c r="AR21" s="872"/>
    </row>
    <row s="32217" customFormat="1" customHeight="1" ht="14.25" hidden="1">
      <c r="L22" s="1695"/>
      <c r="M22" s="1728"/>
      <c r="N22" s="1728"/>
      <c r="O22" s="1730" t="s">
        <v>457</v>
      </c>
      <c r="P22" s="1728"/>
      <c r="Q22" s="1737"/>
      <c r="R22" s="1737"/>
      <c r="S22" s="1090"/>
      <c r="T22" s="1523" t="s">
        <v>458</v>
      </c>
      <c r="AA22" s="547" t="s">
        <v>459</v>
      </c>
      <c r="AC22" s="547" t="s">
        <v>460</v>
      </c>
      <c r="AD22" s="1523" t="s">
        <v>458</v>
      </c>
      <c r="AI22" s="547" t="s">
        <v>461</v>
      </c>
      <c r="AK22" s="547" t="s">
        <v>460</v>
      </c>
      <c r="AN22" s="872"/>
      <c r="AO22" s="872"/>
      <c r="AP22" s="872"/>
      <c r="AQ22" s="872"/>
      <c r="AR22" s="872"/>
    </row>
    <row customHeight="1" ht="14.25" hidden="1">
      <c r="O23" s="1730"/>
    </row>
    <row customHeight="1" ht="14.25" hidden="1">
      <c r="O24" s="1730"/>
    </row>
    <row customHeight="1" ht="14.25">
      <c r="Q25" s="737"/>
      <c r="R25" s="737"/>
      <c r="S25" s="1641"/>
      <c r="T25" s="724"/>
      <c r="U25" s="724"/>
      <c r="V25" s="870"/>
      <c r="W25" s="870"/>
      <c r="X25" s="870"/>
      <c r="Y25" s="870"/>
      <c r="Z25" s="870"/>
      <c r="AA25" s="870"/>
      <c r="AB25" s="870"/>
      <c r="AC25" s="870"/>
      <c r="AD25" s="870"/>
      <c r="AE25" s="870"/>
      <c r="AF25" s="870"/>
      <c r="AG25" s="870"/>
      <c r="AH25" s="870"/>
      <c r="AI25" s="870"/>
      <c r="AJ25" s="870"/>
      <c r="AK25" s="870"/>
    </row>
    <row customHeight="1" ht="51">
      <c r="Q26" s="737"/>
      <c r="R26" s="737"/>
      <c r="S26" s="256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60"/>
      <c r="U26" s="2560"/>
      <c r="V26" s="2560"/>
      <c r="W26" s="2560"/>
      <c r="X26" s="2560"/>
      <c r="Y26" s="2560"/>
      <c r="Z26" s="2560"/>
      <c r="AA26" s="2560"/>
      <c r="AB26" s="2560"/>
      <c r="AC26" s="2560"/>
      <c r="AD26" s="2560"/>
      <c r="AE26" s="2560"/>
      <c r="AF26" s="2560"/>
      <c r="AG26" s="2560"/>
      <c r="AH26" s="2560"/>
      <c r="AI26" s="2560"/>
      <c r="AJ26" s="2560"/>
      <c r="AK26" s="1608"/>
    </row>
    <row customHeight="1" ht="14.25">
      <c r="Q27" s="737"/>
      <c r="R27" s="737"/>
      <c r="S27" s="2561" t="str">
        <f>IF(org=0,"Не определено",org)</f>
        <v>АО "Мурманэнергосбыт"</v>
      </c>
      <c r="T27" s="2561"/>
      <c r="U27" s="2561"/>
      <c r="V27" s="2561"/>
      <c r="W27" s="2561"/>
      <c r="X27" s="2561"/>
      <c r="Y27" s="2561"/>
      <c r="Z27" s="2561"/>
      <c r="AA27" s="2561"/>
      <c r="AB27" s="2561"/>
      <c r="AC27" s="2561"/>
      <c r="AD27" s="2561"/>
      <c r="AE27" s="2561"/>
      <c r="AF27" s="2561"/>
      <c r="AG27" s="2561"/>
      <c r="AH27" s="2561"/>
      <c r="AI27" s="2561"/>
      <c r="AJ27" s="2561"/>
      <c r="AK27" s="1608"/>
    </row>
    <row customHeight="1" ht="14.25">
      <c r="Q28" s="737"/>
      <c r="R28" s="737"/>
      <c r="S28" s="1641"/>
      <c r="T28" s="724"/>
      <c r="U28" s="724"/>
      <c r="V28" s="683"/>
      <c r="W28" s="683"/>
      <c r="X28" s="683"/>
      <c r="Y28" s="683"/>
      <c r="Z28" s="683"/>
      <c r="AA28" s="683"/>
      <c r="AB28" s="683"/>
      <c r="AC28" s="683"/>
      <c r="AD28" s="683"/>
      <c r="AE28" s="683"/>
      <c r="AF28" s="683"/>
      <c r="AG28" s="683"/>
      <c r="AH28" s="683"/>
      <c r="AI28" s="683"/>
      <c r="AJ28" s="683"/>
      <c r="AK28" s="683"/>
      <c r="AL28" s="870"/>
    </row>
    <row s="32230" customFormat="1" customHeight="1" ht="25.5">
      <c r="A29" s="1734"/>
      <c r="B29" s="1734"/>
      <c r="C29" s="1734"/>
      <c r="D29" s="1734"/>
      <c r="E29" s="1734"/>
      <c r="F29" s="1734"/>
      <c r="G29" s="1734"/>
      <c r="H29" s="1734"/>
      <c r="I29" s="1734"/>
      <c r="J29" s="1734"/>
      <c r="K29" s="1734"/>
      <c r="L29" s="1735"/>
      <c r="M29" s="1734"/>
      <c r="N29" s="1734"/>
      <c r="O29" s="1734"/>
      <c r="S29" s="2518" t="s">
        <v>38</v>
      </c>
      <c r="T29" s="2518"/>
      <c r="U29" s="1738"/>
      <c r="V29" s="2520" t="str">
        <f>IF(TITLE_NAME_OR_PR_CHANGE="",IF(TITLE_NAME_OR_PR="","",TITLE_NAME_OR_PR),TITLE_NAME_OR_PR_CHANGE)</f>
        <v>Комитет по тарифному регулированию Мурманской области</v>
      </c>
      <c r="W29" s="2520"/>
      <c r="X29" s="2520"/>
      <c r="Y29" s="2520"/>
      <c r="Z29" s="2520"/>
      <c r="AA29" s="2520"/>
      <c r="AB29" s="2520"/>
      <c r="AC29" s="687"/>
      <c r="AD29" s="2520" t="str">
        <f>IF(TITLE_NAME_OR_PR_CHANGE="",IF(TITLE_NAME_OR_PR="","",TITLE_NAME_OR_PR),TITLE_NAME_OR_PR_CHANGE)</f>
        <v>Комитет по тарифному регулированию Мурманской области</v>
      </c>
      <c r="AE29" s="2520"/>
      <c r="AF29" s="2520"/>
      <c r="AG29" s="2520"/>
      <c r="AH29" s="2520"/>
      <c r="AI29" s="2520"/>
      <c r="AJ29" s="2520"/>
      <c r="AK29" s="687"/>
      <c r="AL29" s="687"/>
      <c r="AM29" s="641"/>
      <c r="AN29" s="729"/>
      <c r="AO29" s="729"/>
      <c r="AP29" s="729"/>
      <c r="AQ29" s="729"/>
      <c r="AR29" s="729"/>
    </row>
    <row s="32230" customFormat="1" customHeight="1" ht="18.75">
      <c r="A30" s="1734"/>
      <c r="B30" s="1734"/>
      <c r="C30" s="1734"/>
      <c r="D30" s="1734"/>
      <c r="E30" s="1734"/>
      <c r="F30" s="1734"/>
      <c r="G30" s="1734"/>
      <c r="H30" s="1734"/>
      <c r="I30" s="1734"/>
      <c r="J30" s="1734"/>
      <c r="K30" s="1734"/>
      <c r="L30" s="1735"/>
      <c r="M30" s="1734"/>
      <c r="N30" s="1734"/>
      <c r="O30" s="1734"/>
      <c r="S30" s="2518" t="s">
        <v>462</v>
      </c>
      <c r="T30" s="2518"/>
      <c r="U30" s="1738"/>
      <c r="V30" s="2519" t="str">
        <f>IF(TITLE_DATE_PR_CHANGE="",IF(TITLE_DATE_PR="","",TITLE_DATE_PR),TITLE_DATE_PR_CHANGE)</f>
        <v>45280</v>
      </c>
      <c r="W30" s="2519"/>
      <c r="X30" s="2519"/>
      <c r="Y30" s="2519"/>
      <c r="Z30" s="2519"/>
      <c r="AA30" s="2519"/>
      <c r="AB30" s="2519"/>
      <c r="AC30" s="687"/>
      <c r="AD30" s="2519" t="str">
        <f>IF(TITLE_DATE_PR_CHANGE="",IF(TITLE_DATE_PR="","",TITLE_DATE_PR),TITLE_DATE_PR_CHANGE)</f>
        <v>45280</v>
      </c>
      <c r="AE30" s="2519"/>
      <c r="AF30" s="2519"/>
      <c r="AG30" s="2519"/>
      <c r="AH30" s="2519"/>
      <c r="AI30" s="2519"/>
      <c r="AJ30" s="2519"/>
      <c r="AK30" s="687"/>
      <c r="AL30" s="687"/>
      <c r="AM30" s="641"/>
      <c r="AN30" s="729"/>
      <c r="AO30" s="729"/>
      <c r="AP30" s="729"/>
      <c r="AQ30" s="729"/>
      <c r="AR30" s="729"/>
    </row>
    <row s="32230" customFormat="1" customHeight="1" ht="18.75">
      <c r="A31" s="1734"/>
      <c r="B31" s="1734"/>
      <c r="C31" s="1734"/>
      <c r="D31" s="1734"/>
      <c r="E31" s="1734"/>
      <c r="F31" s="1734"/>
      <c r="G31" s="1734"/>
      <c r="H31" s="1734"/>
      <c r="I31" s="1734"/>
      <c r="J31" s="1734"/>
      <c r="K31" s="1734"/>
      <c r="L31" s="1735"/>
      <c r="M31" s="1734"/>
      <c r="N31" s="1734"/>
      <c r="O31" s="1734"/>
      <c r="S31" s="2518" t="s">
        <v>463</v>
      </c>
      <c r="T31" s="2518"/>
      <c r="U31" s="1738"/>
      <c r="V31" s="2520" t="str">
        <f>IF(TITLE_NUMBER_PR_CHANGE="",IF(TITLE_NUMBER_PR="","",TITLE_NUMBER_PR),TITLE_NUMBER_PR_CHANGE)</f>
        <v>51/16</v>
      </c>
      <c r="W31" s="2520"/>
      <c r="X31" s="2520"/>
      <c r="Y31" s="2520"/>
      <c r="Z31" s="2520"/>
      <c r="AA31" s="2520"/>
      <c r="AB31" s="2520"/>
      <c r="AC31" s="687"/>
      <c r="AD31" s="2520" t="str">
        <f>IF(TITLE_NUMBER_PR_CHANGE="",IF(TITLE_NUMBER_PR="","",TITLE_NUMBER_PR),TITLE_NUMBER_PR_CHANGE)</f>
        <v>51/16</v>
      </c>
      <c r="AE31" s="2520"/>
      <c r="AF31" s="2520"/>
      <c r="AG31" s="2520"/>
      <c r="AH31" s="2520"/>
      <c r="AI31" s="2520"/>
      <c r="AJ31" s="2520"/>
      <c r="AK31" s="687"/>
      <c r="AL31" s="687"/>
      <c r="AM31" s="641"/>
      <c r="AN31" s="729"/>
      <c r="AO31" s="729"/>
      <c r="AP31" s="729"/>
      <c r="AQ31" s="729"/>
      <c r="AR31" s="729"/>
    </row>
    <row s="32230" customFormat="1" customHeight="1" ht="18.75">
      <c r="A32" s="1734"/>
      <c r="B32" s="1734"/>
      <c r="C32" s="1734"/>
      <c r="D32" s="1734"/>
      <c r="E32" s="1734"/>
      <c r="F32" s="1734"/>
      <c r="G32" s="1734"/>
      <c r="H32" s="1734"/>
      <c r="I32" s="1734"/>
      <c r="J32" s="1734"/>
      <c r="K32" s="1734"/>
      <c r="L32" s="1735"/>
      <c r="M32" s="1734"/>
      <c r="N32" s="1734"/>
      <c r="O32" s="1734"/>
      <c r="S32" s="2518" t="s">
        <v>40</v>
      </c>
      <c r="T32" s="2518"/>
      <c r="U32" s="1738"/>
      <c r="V32" s="2520" t="str">
        <f>IF(TITLE_IST_PUB_CHANGE="",IF(TITLE_IST_PUB="","",TITLE_IST_PUB),TITLE_IST_PUB_CHANGE)</f>
        <v>https://npa.gov-murman.ru/bitrix/components/b1team/govmurman.element.file/download.php?ID=508455&amp;FID=750728</v>
      </c>
      <c r="W32" s="2520"/>
      <c r="X32" s="2520"/>
      <c r="Y32" s="2520"/>
      <c r="Z32" s="2520"/>
      <c r="AA32" s="2520"/>
      <c r="AB32" s="2520"/>
      <c r="AC32" s="687"/>
      <c r="AD32" s="2520" t="str">
        <f>IF(TITLE_IST_PUB_CHANGE="",IF(TITLE_IST_PUB="","",TITLE_IST_PUB),TITLE_IST_PUB_CHANGE)</f>
        <v>https://npa.gov-murman.ru/bitrix/components/b1team/govmurman.element.file/download.php?ID=508455&amp;FID=750728</v>
      </c>
      <c r="AE32" s="2520"/>
      <c r="AF32" s="2520"/>
      <c r="AG32" s="2520"/>
      <c r="AH32" s="2520"/>
      <c r="AI32" s="2520"/>
      <c r="AJ32" s="2520"/>
      <c r="AK32" s="687"/>
      <c r="AL32" s="687"/>
      <c r="AM32" s="641"/>
      <c r="AN32" s="729"/>
      <c r="AO32" s="729"/>
      <c r="AP32" s="729"/>
      <c r="AQ32" s="729"/>
      <c r="AR32" s="729"/>
    </row>
    <row customHeight="1" ht="14.25" hidden="1">
      <c r="Q33" s="737"/>
      <c r="R33" s="737"/>
      <c r="S33" s="1641"/>
      <c r="T33" s="724"/>
      <c r="U33" s="724"/>
      <c r="V33" s="683"/>
      <c r="W33" s="683"/>
      <c r="X33" s="683"/>
      <c r="Y33" s="683"/>
      <c r="Z33" s="683"/>
      <c r="AA33" s="683"/>
      <c r="AB33" s="683"/>
      <c r="AC33" s="683"/>
      <c r="AD33" s="683"/>
      <c r="AE33" s="683"/>
      <c r="AF33" s="683"/>
      <c r="AG33" s="683"/>
      <c r="AH33" s="683"/>
      <c r="AI33" s="683"/>
      <c r="AJ33" s="683"/>
      <c r="AK33" s="683"/>
      <c r="AL33" s="870"/>
    </row>
    <row s="32230" customFormat="1" customHeight="1" ht="18.75" hidden="1">
      <c r="A34" s="1734"/>
      <c r="B34" s="1734"/>
      <c r="C34" s="1734"/>
      <c r="D34" s="1734"/>
      <c r="E34" s="1734"/>
      <c r="F34" s="1734"/>
      <c r="G34" s="1734"/>
      <c r="H34" s="1734"/>
      <c r="I34" s="1734"/>
      <c r="J34" s="1734"/>
      <c r="K34" s="1734"/>
      <c r="L34" s="1735"/>
      <c r="M34" s="1734"/>
      <c r="N34" s="1734"/>
      <c r="O34" s="1734"/>
      <c r="S34" s="2518" t="s">
        <v>464</v>
      </c>
      <c r="T34" s="2518"/>
      <c r="U34" s="1738"/>
      <c r="V34" s="2519" t="str">
        <f>IF(TITLE_DATE_PR_CHANGE="",IF(TITLE_DATE_PR="","",TITLE_DATE_PR),TITLE_DATE_PR_CHANGE)</f>
        <v>45280</v>
      </c>
      <c r="W34" s="2519"/>
      <c r="X34" s="2519"/>
      <c r="Y34" s="2519"/>
      <c r="Z34" s="2519"/>
      <c r="AA34" s="2519"/>
      <c r="AB34" s="2519"/>
      <c r="AC34" s="687"/>
      <c r="AD34" s="2519" t="str">
        <f>IF(TITLE_DATE_PR_CHANGE="",IF(TITLE_DATE_PR="","",TITLE_DATE_PR),TITLE_DATE_PR_CHANGE)</f>
        <v>45280</v>
      </c>
      <c r="AE34" s="2519"/>
      <c r="AF34" s="2519"/>
      <c r="AG34" s="2519"/>
      <c r="AH34" s="2519"/>
      <c r="AI34" s="2519"/>
      <c r="AJ34" s="2519"/>
      <c r="AK34" s="687"/>
      <c r="AL34" s="687"/>
      <c r="AM34" s="641"/>
      <c r="AN34" s="729"/>
      <c r="AO34" s="729"/>
      <c r="AP34" s="729"/>
      <c r="AQ34" s="729"/>
      <c r="AR34" s="729"/>
    </row>
    <row s="32230" customFormat="1" customHeight="1" ht="18.75" hidden="1">
      <c r="A35" s="1734"/>
      <c r="B35" s="1734"/>
      <c r="C35" s="1734"/>
      <c r="D35" s="1734"/>
      <c r="E35" s="1734"/>
      <c r="F35" s="1734"/>
      <c r="G35" s="1734"/>
      <c r="H35" s="1734"/>
      <c r="I35" s="1734"/>
      <c r="J35" s="1734"/>
      <c r="K35" s="1734"/>
      <c r="L35" s="1735"/>
      <c r="M35" s="1734"/>
      <c r="N35" s="1734"/>
      <c r="O35" s="1734"/>
      <c r="S35" s="2518" t="s">
        <v>465</v>
      </c>
      <c r="T35" s="2518"/>
      <c r="U35" s="1738"/>
      <c r="V35" s="2520" t="str">
        <f>IF(TITLE_NUMBER_PR_CHANGE="",IF(TITLE_NUMBER_PR="","",TITLE_NUMBER_PR),TITLE_NUMBER_PR_CHANGE)</f>
        <v>51/16</v>
      </c>
      <c r="W35" s="2520"/>
      <c r="X35" s="2520"/>
      <c r="Y35" s="2520"/>
      <c r="Z35" s="2520"/>
      <c r="AA35" s="2520"/>
      <c r="AB35" s="2520"/>
      <c r="AC35" s="687"/>
      <c r="AD35" s="2520" t="str">
        <f>IF(TITLE_NUMBER_PR_CHANGE="",IF(TITLE_NUMBER_PR="","",TITLE_NUMBER_PR),TITLE_NUMBER_PR_CHANGE)</f>
        <v>51/16</v>
      </c>
      <c r="AE35" s="2520"/>
      <c r="AF35" s="2520"/>
      <c r="AG35" s="2520"/>
      <c r="AH35" s="2520"/>
      <c r="AI35" s="2520"/>
      <c r="AJ35" s="2520"/>
      <c r="AK35" s="687"/>
      <c r="AL35" s="687"/>
      <c r="AM35" s="641"/>
      <c r="AN35" s="729"/>
      <c r="AO35" s="729"/>
      <c r="AP35" s="729"/>
      <c r="AQ35" s="729"/>
      <c r="AR35" s="729"/>
    </row>
    <row s="32230" customFormat="1" customHeight="1" ht="0">
      <c r="A36" s="1734"/>
      <c r="B36" s="1734"/>
      <c r="C36" s="1734"/>
      <c r="D36" s="1734"/>
      <c r="E36" s="1734"/>
      <c r="F36" s="1734"/>
      <c r="G36" s="1734"/>
      <c r="H36" s="1734"/>
      <c r="I36" s="1734"/>
      <c r="J36" s="1734"/>
      <c r="K36" s="1734"/>
      <c r="L36" s="1735"/>
      <c r="M36" s="1734"/>
      <c r="N36" s="1734"/>
      <c r="O36" s="1734"/>
      <c r="S36" s="684"/>
      <c r="T36" s="684"/>
      <c r="U36" s="1706"/>
      <c r="V36" s="687"/>
      <c r="W36" s="687"/>
      <c r="X36" s="687"/>
      <c r="Y36" s="687"/>
      <c r="Z36" s="687"/>
      <c r="AA36" s="687"/>
      <c r="AB36" s="687"/>
      <c r="AC36" s="639" t="s">
        <v>466</v>
      </c>
      <c r="AD36" s="687"/>
      <c r="AE36" s="687"/>
      <c r="AF36" s="687"/>
      <c r="AG36" s="687"/>
      <c r="AH36" s="687"/>
      <c r="AI36" s="687"/>
      <c r="AJ36" s="687"/>
      <c r="AK36" s="639" t="s">
        <v>466</v>
      </c>
      <c r="AN36" s="729"/>
      <c r="AO36" s="729"/>
      <c r="AP36" s="729"/>
      <c r="AQ36" s="729"/>
      <c r="AR36" s="729"/>
    </row>
    <row customHeight="1" ht="14.25">
      <c r="Q37" s="737"/>
      <c r="R37" s="737"/>
      <c r="S37" s="1641"/>
      <c r="T37" s="724"/>
      <c r="U37" s="1609"/>
      <c r="V37" s="2544"/>
      <c r="W37" s="2544"/>
      <c r="X37" s="2544"/>
      <c r="Y37" s="2544"/>
      <c r="Z37" s="2544"/>
      <c r="AA37" s="2544"/>
      <c r="AB37" s="2544"/>
      <c r="AC37" s="2544"/>
      <c r="AD37" s="2544"/>
      <c r="AE37" s="2544"/>
      <c r="AF37" s="2544"/>
      <c r="AG37" s="2544"/>
      <c r="AH37" s="2544"/>
      <c r="AI37" s="2544"/>
      <c r="AJ37" s="2544"/>
      <c r="AK37" s="2544"/>
    </row>
    <row customHeight="1" ht="14.25">
      <c r="Q38" s="737"/>
      <c r="R38" s="737"/>
      <c r="S38" s="2392" t="s">
        <v>341</v>
      </c>
      <c r="T38" s="2392"/>
      <c r="U38" s="2392"/>
      <c r="V38" s="2392"/>
      <c r="W38" s="2392"/>
      <c r="X38" s="2392"/>
      <c r="Y38" s="2392"/>
      <c r="Z38" s="2392"/>
      <c r="AA38" s="2392"/>
      <c r="AB38" s="2392"/>
      <c r="AC38" s="2392"/>
      <c r="AD38" s="2392"/>
      <c r="AE38" s="2392"/>
      <c r="AF38" s="2392"/>
      <c r="AG38" s="2392"/>
      <c r="AH38" s="2392"/>
      <c r="AI38" s="2392"/>
      <c r="AJ38" s="2392"/>
      <c r="AK38" s="2392"/>
      <c r="AL38" s="2392"/>
      <c r="AM38" s="2392" t="s">
        <v>342</v>
      </c>
    </row>
    <row customHeight="1" ht="14.25">
      <c r="Q39" s="737"/>
      <c r="R39" s="737"/>
      <c r="S39" s="2545" t="s">
        <v>87</v>
      </c>
      <c r="T39" s="2482" t="s">
        <v>467</v>
      </c>
      <c r="U39" s="662"/>
      <c r="V39" s="2546" t="s">
        <v>468</v>
      </c>
      <c r="W39" s="2547"/>
      <c r="X39" s="2547"/>
      <c r="Y39" s="2547"/>
      <c r="Z39" s="2547"/>
      <c r="AA39" s="2547"/>
      <c r="AB39" s="2548"/>
      <c r="AC39" s="2549" t="s">
        <v>469</v>
      </c>
      <c r="AD39" s="2546" t="s">
        <v>468</v>
      </c>
      <c r="AE39" s="2547"/>
      <c r="AF39" s="2547"/>
      <c r="AG39" s="2547"/>
      <c r="AH39" s="2547"/>
      <c r="AI39" s="2547"/>
      <c r="AJ39" s="2548"/>
      <c r="AK39" s="2549" t="s">
        <v>470</v>
      </c>
      <c r="AL39" s="2552" t="s">
        <v>471</v>
      </c>
      <c r="AM39" s="2392"/>
    </row>
    <row customHeight="1" ht="33.75">
      <c r="Q40" s="737"/>
      <c r="R40" s="737"/>
      <c r="S40" s="2545"/>
      <c r="T40" s="2482"/>
      <c r="U40" s="1393"/>
      <c r="V40" s="2555" t="s">
        <v>472</v>
      </c>
      <c r="W40" s="2536"/>
      <c r="X40" s="2538" t="s">
        <v>474</v>
      </c>
      <c r="Y40" s="2540"/>
      <c r="Z40" s="2538" t="s">
        <v>475</v>
      </c>
      <c r="AA40" s="2539"/>
      <c r="AB40" s="2540"/>
      <c r="AC40" s="2550"/>
      <c r="AD40" s="2555" t="s">
        <v>488</v>
      </c>
      <c r="AE40" s="2536"/>
      <c r="AF40" s="2538" t="s">
        <v>474</v>
      </c>
      <c r="AG40" s="2540"/>
      <c r="AH40" s="2538" t="s">
        <v>475</v>
      </c>
      <c r="AI40" s="2539"/>
      <c r="AJ40" s="2540"/>
      <c r="AK40" s="2550"/>
      <c r="AL40" s="2553"/>
      <c r="AM40" s="2392"/>
    </row>
    <row customHeight="1" ht="33.75">
      <c r="A41" s="1736"/>
      <c r="B41" s="1736" t="s">
        <v>143</v>
      </c>
      <c r="C41" s="1736" t="s">
        <v>144</v>
      </c>
      <c r="D41" s="1736" t="s">
        <v>145</v>
      </c>
      <c r="E41" s="1730" t="s">
        <v>476</v>
      </c>
      <c r="F41" s="1730" t="s">
        <v>477</v>
      </c>
      <c r="G41" s="1730" t="s">
        <v>478</v>
      </c>
      <c r="H41" s="1730" t="s">
        <v>479</v>
      </c>
      <c r="I41" s="1730" t="s">
        <v>480</v>
      </c>
      <c r="J41" s="1730" t="s">
        <v>481</v>
      </c>
      <c r="K41" s="1730" t="s">
        <v>482</v>
      </c>
      <c r="L41" s="1730" t="s">
        <v>457</v>
      </c>
      <c r="Q41" s="737"/>
      <c r="R41" s="737"/>
      <c r="S41" s="2545"/>
      <c r="T41" s="2482"/>
      <c r="U41" s="663"/>
      <c r="V41" s="2556"/>
      <c r="W41" s="2537"/>
      <c r="X41" s="1587" t="s">
        <v>483</v>
      </c>
      <c r="Y41" s="1587" t="s">
        <v>484</v>
      </c>
      <c r="Z41" s="1704" t="s">
        <v>485</v>
      </c>
      <c r="AA41" s="2541" t="s">
        <v>486</v>
      </c>
      <c r="AB41" s="2542"/>
      <c r="AC41" s="2551"/>
      <c r="AD41" s="2556"/>
      <c r="AE41" s="2537"/>
      <c r="AF41" s="1587" t="s">
        <v>483</v>
      </c>
      <c r="AG41" s="1587" t="s">
        <v>484</v>
      </c>
      <c r="AH41" s="1704" t="s">
        <v>485</v>
      </c>
      <c r="AI41" s="2541" t="s">
        <v>486</v>
      </c>
      <c r="AJ41" s="2542"/>
      <c r="AK41" s="2551"/>
      <c r="AL41" s="2554"/>
      <c r="AM41" s="2392"/>
    </row>
    <row s="32049" customFormat="1" customHeight="1" ht="11.25" hidden="1">
      <c r="A42" s="1736"/>
      <c r="B42" s="1736"/>
      <c r="C42" s="1736"/>
      <c r="D42" s="1736"/>
      <c r="E42" s="1736"/>
      <c r="F42" s="1736"/>
      <c r="G42" s="1736"/>
      <c r="H42" s="1736"/>
      <c r="I42" s="1736"/>
      <c r="J42" s="1736"/>
      <c r="K42" s="1736"/>
      <c r="L42" s="1730"/>
      <c r="M42" s="1728"/>
      <c r="N42" s="1728"/>
      <c r="O42" s="1728"/>
      <c r="P42" s="1611"/>
      <c r="Q42" s="1612"/>
      <c r="R42" s="1619">
        <v>1</v>
      </c>
      <c r="S42" s="1643" t="s">
        <v>118</v>
      </c>
      <c r="T42" s="1620" t="s">
        <v>102</v>
      </c>
      <c r="U42" s="1610" t="str">
        <f>OFFSET(U42,0,-1)</f>
        <v>2</v>
      </c>
      <c r="V42" s="1701">
        <f>OFFSET(V42,0,-1)+1</f>
        <v>3</v>
      </c>
      <c r="W42" s="1701"/>
      <c r="X42" s="1701">
        <f>OFFSET(X42,0,-1)+1</f>
        <v>1</v>
      </c>
      <c r="Y42" s="1701">
        <f>OFFSET(Y42,0,-1)+1</f>
        <v>2</v>
      </c>
      <c r="Z42" s="1701">
        <f>OFFSET(Z42,0,-1)+1</f>
        <v>3</v>
      </c>
      <c r="AA42" s="2543">
        <f>OFFSET(AA42,0,-1)+1</f>
        <v>4</v>
      </c>
      <c r="AB42" s="2543"/>
      <c r="AC42" s="1701">
        <f>OFFSET(AC42,0,-2)+1</f>
        <v>5</v>
      </c>
      <c r="AD42" s="1701">
        <f>OFFSET(AD42,0,-1)+1</f>
        <v>6</v>
      </c>
      <c r="AE42" s="1701"/>
      <c r="AF42" s="1701">
        <f>OFFSET(AF42,0,-1)+1</f>
        <v>1</v>
      </c>
      <c r="AG42" s="1701">
        <f>OFFSET(AG42,0,-1)+1</f>
        <v>2</v>
      </c>
      <c r="AH42" s="1701">
        <f>OFFSET(AH42,0,-1)+1</f>
        <v>3</v>
      </c>
      <c r="AI42" s="2543">
        <f>OFFSET(AI42,0,-1)+1</f>
        <v>4</v>
      </c>
      <c r="AJ42" s="2543"/>
      <c r="AK42" s="1701">
        <f>OFFSET(AK42,0,-2)+1</f>
        <v>5</v>
      </c>
      <c r="AL42" s="1610">
        <f>OFFSET(AL42,0,-1)</f>
        <v>5</v>
      </c>
      <c r="AM42" s="1701">
        <f>OFFSET(AM42,0,-1)+1</f>
        <v>6</v>
      </c>
      <c r="AN42" s="872"/>
      <c r="AO42" s="872"/>
      <c r="AP42" s="872"/>
      <c r="AQ42" s="872"/>
      <c r="AR42" s="872"/>
    </row>
    <row customHeight="1" ht="21">
      <c r="A43" s="1729" t="s">
        <v>174</v>
      </c>
      <c r="B43" s="1729"/>
      <c r="C43" s="1729"/>
      <c r="D43" s="1729"/>
      <c r="E43" s="2527">
        <v>1</v>
      </c>
      <c r="F43" s="1729"/>
      <c r="G43" s="1729"/>
      <c r="H43" s="1729"/>
      <c r="I43" s="1729"/>
      <c r="J43" s="1729"/>
      <c r="K43" s="1729"/>
      <c r="L43" s="1730"/>
      <c r="M43" s="1731"/>
      <c r="N43" s="1731"/>
      <c r="O43" s="1731"/>
      <c r="P43" s="722"/>
      <c r="Q43" s="721"/>
      <c r="R43" s="716"/>
      <c r="S43" s="1702">
        <f>INDEX(PT_DIFFERENTIATION_NUM_NTAR,MATCH(A43,PT_DIFFERENTIATION_NTAR_ID,0))</f>
        <v>0</v>
      </c>
      <c r="T43" s="659" t="s">
        <v>131</v>
      </c>
      <c r="U43" s="661"/>
      <c r="V43" s="2521"/>
      <c r="W43" s="2522"/>
      <c r="X43" s="2522"/>
      <c r="Y43" s="2522"/>
      <c r="Z43" s="2522"/>
      <c r="AA43" s="2522"/>
      <c r="AB43" s="2522"/>
      <c r="AC43" s="2523"/>
      <c r="AD43" s="2521" t="str">
        <f>INDEX(PT_DIFFERENTIATION_NTAR,MATCH(A43,PT_DIFFERENTIATION_NTAR_ID,0))</f>
        <v/>
      </c>
      <c r="AE43" s="2522"/>
      <c r="AF43" s="2522"/>
      <c r="AG43" s="2522"/>
      <c r="AH43" s="2522"/>
      <c r="AI43" s="2522"/>
      <c r="AJ43" s="2522"/>
      <c r="AK43" s="2522"/>
      <c r="AL43" s="2523"/>
      <c r="AM43" s="16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861"/>
      <c r="AP43" s="861" t="str">
        <f>IF(T43="","",T43)</f>
        <v>Наименование тарифа</v>
      </c>
      <c r="AQ43" s="861"/>
      <c r="AR43" s="861"/>
    </row>
    <row customHeight="1" ht="21">
      <c r="A44" s="1729" t="s">
        <v>174</v>
      </c>
      <c r="B44" s="1729" t="s">
        <v>175</v>
      </c>
      <c r="C44" s="1729"/>
      <c r="D44" s="1729"/>
      <c r="E44" s="2528"/>
      <c r="F44" s="2527">
        <v>1</v>
      </c>
      <c r="G44" s="1729"/>
      <c r="H44" s="1729"/>
      <c r="I44" s="1729"/>
      <c r="J44" s="1729"/>
      <c r="K44" s="1729"/>
      <c r="L44" s="1730"/>
      <c r="M44" s="1731"/>
      <c r="N44" s="1731"/>
      <c r="O44" s="1731"/>
      <c r="P44" s="1698"/>
      <c r="Q44" s="713"/>
      <c r="R44" s="714"/>
      <c r="S44" s="1702" t="str">
        <f>INDEX(PT_DIFFERENTIATION_NUM_TER,MATCH(B44,PT_DIFFERENTIATION_TER_ID,0))</f>
        <v>.</v>
      </c>
      <c r="T44" s="669" t="s">
        <v>438</v>
      </c>
      <c r="U44" s="661"/>
      <c r="V44" s="2521"/>
      <c r="W44" s="2522"/>
      <c r="X44" s="2522"/>
      <c r="Y44" s="2522"/>
      <c r="Z44" s="2522"/>
      <c r="AA44" s="2522"/>
      <c r="AB44" s="2522"/>
      <c r="AC44" s="2523"/>
      <c r="AD44" s="2521" t="str">
        <f>INDEX(PT_DIFFERENTIATION_TER,MATCH(B44,PT_DIFFERENTIATION_TER_ID,0))</f>
        <v/>
      </c>
      <c r="AE44" s="2522"/>
      <c r="AF44" s="2522"/>
      <c r="AG44" s="2522"/>
      <c r="AH44" s="2522"/>
      <c r="AI44" s="2522"/>
      <c r="AJ44" s="2522"/>
      <c r="AK44" s="2522"/>
      <c r="AL44" s="2523"/>
      <c r="AM44" s="1623" t="s">
        <v>439</v>
      </c>
      <c r="AO44" s="861"/>
      <c r="AP44" s="861" t="str">
        <f>IF(T44="","",T44)</f>
        <v>Территория действия тарифа</v>
      </c>
      <c r="AQ44" s="861"/>
      <c r="AR44" s="861"/>
    </row>
    <row customHeight="1" ht="23.25">
      <c r="A45" s="1729" t="s">
        <v>174</v>
      </c>
      <c r="B45" s="1729" t="s">
        <v>175</v>
      </c>
      <c r="C45" s="1729" t="s">
        <v>176</v>
      </c>
      <c r="D45" s="1729"/>
      <c r="E45" s="2528"/>
      <c r="F45" s="2528"/>
      <c r="G45" s="2527">
        <v>1</v>
      </c>
      <c r="H45" s="1729"/>
      <c r="I45" s="1729"/>
      <c r="J45" s="1729"/>
      <c r="K45" s="1729"/>
      <c r="L45" s="1730"/>
      <c r="M45" s="1731"/>
      <c r="N45" s="1731"/>
      <c r="O45" s="1731"/>
      <c r="P45" s="715"/>
      <c r="Q45" s="713"/>
      <c r="R45" s="714"/>
      <c r="S45" s="1702" t="str">
        <f>INDEX(PT_DIFFERENTIATION_NUM_CS,MATCH(C45,PT_DIFFERENTIATION_CS_ID,0))</f>
        <v>..</v>
      </c>
      <c r="T45" s="670" t="s">
        <v>440</v>
      </c>
      <c r="U45" s="661"/>
      <c r="V45" s="2521"/>
      <c r="W45" s="2522"/>
      <c r="X45" s="2522"/>
      <c r="Y45" s="2522"/>
      <c r="Z45" s="2522"/>
      <c r="AA45" s="2522"/>
      <c r="AB45" s="2522"/>
      <c r="AC45" s="2523"/>
      <c r="AD45" s="2521" t="str">
        <f>INDEX(PT_DIFFERENTIATION_CS,MATCH(C45,PT_DIFFERENTIATION_CS_ID,0))</f>
        <v/>
      </c>
      <c r="AE45" s="2522"/>
      <c r="AF45" s="2522"/>
      <c r="AG45" s="2522"/>
      <c r="AH45" s="2522"/>
      <c r="AI45" s="2522"/>
      <c r="AJ45" s="2522"/>
      <c r="AK45" s="2522"/>
      <c r="AL45" s="2523"/>
      <c r="AM45" s="1623" t="s">
        <v>441</v>
      </c>
      <c r="AO45" s="861"/>
      <c r="AP45" s="861" t="str">
        <f>IF(T45="","",T45)</f>
        <v>Наименование системы теплоснабжения </v>
      </c>
      <c r="AQ45" s="861"/>
      <c r="AR45" s="861"/>
    </row>
    <row customHeight="1" ht="21">
      <c r="A46" s="1729" t="s">
        <v>174</v>
      </c>
      <c r="B46" s="1729" t="s">
        <v>175</v>
      </c>
      <c r="C46" s="1729" t="s">
        <v>176</v>
      </c>
      <c r="D46" s="1729" t="s">
        <v>177</v>
      </c>
      <c r="E46" s="2528"/>
      <c r="F46" s="2528"/>
      <c r="G46" s="2528"/>
      <c r="H46" s="2527">
        <v>1</v>
      </c>
      <c r="I46" s="1729"/>
      <c r="J46" s="1729"/>
      <c r="K46" s="1729"/>
      <c r="L46" s="1730"/>
      <c r="M46" s="1731"/>
      <c r="N46" s="1731"/>
      <c r="O46" s="1731"/>
      <c r="P46" s="715"/>
      <c r="Q46" s="713"/>
      <c r="R46" s="714"/>
      <c r="S46" s="1702" t="str">
        <f>INDEX(PT_DIFFERENTIATION_NUM_IST_TE,MATCH(D46,PT_DIFFERENTIATION_IST_TE_ID,0))</f>
        <v>...</v>
      </c>
      <c r="T46" s="671" t="s">
        <v>442</v>
      </c>
      <c r="U46" s="661"/>
      <c r="V46" s="2521"/>
      <c r="W46" s="2522"/>
      <c r="X46" s="2522"/>
      <c r="Y46" s="2522"/>
      <c r="Z46" s="2522"/>
      <c r="AA46" s="2522"/>
      <c r="AB46" s="2522"/>
      <c r="AC46" s="2523"/>
      <c r="AD46" s="2521" t="str">
        <f>INDEX(PT_DIFFERENTIATION_IST_TE,MATCH(D46,PT_DIFFERENTIATION_IST_TE_ID,0))</f>
        <v/>
      </c>
      <c r="AE46" s="2522"/>
      <c r="AF46" s="2522"/>
      <c r="AG46" s="2522"/>
      <c r="AH46" s="2522"/>
      <c r="AI46" s="2522"/>
      <c r="AJ46" s="2522"/>
      <c r="AK46" s="2522"/>
      <c r="AL46" s="2523"/>
      <c r="AM46" s="1623" t="s">
        <v>443</v>
      </c>
      <c r="AO46" s="861"/>
      <c r="AP46" s="861" t="str">
        <f>IF(T46="","",T46)</f>
        <v>Источник тепловой энергии  </v>
      </c>
      <c r="AQ46" s="861"/>
      <c r="AR46" s="861"/>
    </row>
    <row s="32289" customFormat="1" customHeight="1" ht="0">
      <c r="A47" s="1709" t="s">
        <v>174</v>
      </c>
      <c r="B47" s="1709" t="s">
        <v>175</v>
      </c>
      <c r="C47" s="1709" t="s">
        <v>176</v>
      </c>
      <c r="D47" s="1709" t="s">
        <v>177</v>
      </c>
      <c r="E47" s="2528"/>
      <c r="F47" s="2528"/>
      <c r="G47" s="2528"/>
      <c r="H47" s="2528"/>
      <c r="I47" s="2529" t="str">
        <f>S46&amp;".1"</f>
        <v>....1</v>
      </c>
      <c r="J47" s="1709"/>
      <c r="K47" s="1709"/>
      <c r="L47" s="1712" t="s">
        <v>444</v>
      </c>
      <c r="M47" s="871"/>
      <c r="N47" s="871"/>
      <c r="O47" s="871"/>
      <c r="P47" s="2531">
        <v>1</v>
      </c>
      <c r="Q47" s="1697"/>
      <c r="R47" s="717"/>
      <c r="S47" s="1404"/>
      <c r="T47" s="1749"/>
      <c r="U47" s="1750"/>
      <c r="V47" s="2569"/>
      <c r="W47" s="2570"/>
      <c r="X47" s="2570"/>
      <c r="Y47" s="2570"/>
      <c r="Z47" s="2570"/>
      <c r="AA47" s="2570"/>
      <c r="AB47" s="2570"/>
      <c r="AC47" s="2571"/>
      <c r="AD47" s="2569"/>
      <c r="AE47" s="2570"/>
      <c r="AF47" s="2570"/>
      <c r="AG47" s="2570"/>
      <c r="AH47" s="2570"/>
      <c r="AI47" s="2570"/>
      <c r="AJ47" s="2570"/>
      <c r="AK47" s="2570"/>
      <c r="AL47" s="2571"/>
      <c r="AM47" s="1751"/>
      <c r="AO47" s="861"/>
      <c r="AP47" s="861" t="str">
        <f>IF(T47="","",T47)</f>
        <v/>
      </c>
      <c r="AQ47" s="861"/>
      <c r="AR47" s="861"/>
    </row>
    <row customHeight="1" ht="21">
      <c r="A48" s="1729" t="s">
        <v>174</v>
      </c>
      <c r="B48" s="1729" t="s">
        <v>175</v>
      </c>
      <c r="C48" s="1729" t="s">
        <v>176</v>
      </c>
      <c r="D48" s="1729" t="s">
        <v>177</v>
      </c>
      <c r="E48" s="2528"/>
      <c r="F48" s="2528"/>
      <c r="G48" s="2528"/>
      <c r="H48" s="2528"/>
      <c r="I48" s="2530"/>
      <c r="J48" s="2529" t="str">
        <f>S46&amp;".1"</f>
        <v>....1</v>
      </c>
      <c r="K48" s="1729"/>
      <c r="L48" s="1730" t="s">
        <v>447</v>
      </c>
      <c r="P48" s="2531"/>
      <c r="Q48" s="2531">
        <v>1</v>
      </c>
      <c r="R48" s="718"/>
      <c r="S48" s="1702" t="str">
        <f>$J48</f>
        <v>....1</v>
      </c>
      <c r="T48" s="647" t="s">
        <v>448</v>
      </c>
      <c r="U48" s="661"/>
      <c r="V48" s="2515"/>
      <c r="W48" s="2516"/>
      <c r="X48" s="2516"/>
      <c r="Y48" s="2516"/>
      <c r="Z48" s="2516"/>
      <c r="AA48" s="2516"/>
      <c r="AB48" s="2516"/>
      <c r="AC48" s="2517"/>
      <c r="AD48" s="2515"/>
      <c r="AE48" s="2516"/>
      <c r="AF48" s="2516"/>
      <c r="AG48" s="2516"/>
      <c r="AH48" s="2516"/>
      <c r="AI48" s="2516"/>
      <c r="AJ48" s="2516"/>
      <c r="AK48" s="2516"/>
      <c r="AL48" s="2517"/>
      <c r="AM48" s="1623" t="s">
        <v>449</v>
      </c>
      <c r="AO48" s="861"/>
      <c r="AP48" s="861" t="str">
        <f>IF(T48="","",T48)</f>
        <v>Группа потребителей</v>
      </c>
      <c r="AQ48" s="861"/>
      <c r="AR48" s="861"/>
    </row>
    <row customHeight="1" ht="21">
      <c r="A49" s="1729" t="s">
        <v>174</v>
      </c>
      <c r="B49" s="1729" t="s">
        <v>175</v>
      </c>
      <c r="C49" s="1729" t="s">
        <v>176</v>
      </c>
      <c r="D49" s="1729" t="s">
        <v>177</v>
      </c>
      <c r="E49" s="2528"/>
      <c r="F49" s="2528"/>
      <c r="G49" s="2528"/>
      <c r="H49" s="2528"/>
      <c r="I49" s="2530"/>
      <c r="J49" s="2530"/>
      <c r="K49" s="2529" t="str">
        <f>J48&amp;".1"</f>
        <v>....1.1</v>
      </c>
      <c r="L49" s="1730" t="s">
        <v>450</v>
      </c>
      <c r="P49" s="2531"/>
      <c r="Q49" s="2531"/>
      <c r="R49" s="718">
        <v>1</v>
      </c>
      <c r="S49" s="1702" t="str">
        <f>$K49</f>
        <v>....1.1</v>
      </c>
      <c r="T49" s="1713"/>
      <c r="U49" s="661"/>
      <c r="V49" s="1112"/>
      <c r="W49" s="686"/>
      <c r="X49" s="1112"/>
      <c r="Y49" s="1622"/>
      <c r="Z49" s="2532"/>
      <c r="AA49" s="2402" t="s">
        <v>66</v>
      </c>
      <c r="AB49" s="2532"/>
      <c r="AC49" s="2402" t="s">
        <v>66</v>
      </c>
      <c r="AD49" s="1112"/>
      <c r="AE49" s="686"/>
      <c r="AF49" s="1112"/>
      <c r="AG49" s="1622"/>
      <c r="AH49" s="2532"/>
      <c r="AI49" s="2402" t="s">
        <v>66</v>
      </c>
      <c r="AJ49" s="2534"/>
      <c r="AK49" s="2402" t="s">
        <v>66</v>
      </c>
      <c r="AL49" s="1714"/>
      <c r="AM49" s="2557" t="s">
        <v>489</v>
      </c>
      <c r="AN49" s="872">
        <f>STRCHECKDATE(V50:AL50)</f>
      </c>
      <c r="AO49" s="861"/>
      <c r="AP49" s="861" t="str">
        <f>IF(T49="","",T49)</f>
        <v/>
      </c>
      <c r="AQ49" s="861"/>
      <c r="AR49" s="861"/>
    </row>
    <row customHeight="1" ht="0.75">
      <c r="A50" s="1729" t="s">
        <v>174</v>
      </c>
      <c r="B50" s="1729" t="s">
        <v>175</v>
      </c>
      <c r="C50" s="1729" t="s">
        <v>176</v>
      </c>
      <c r="D50" s="1729" t="s">
        <v>177</v>
      </c>
      <c r="E50" s="2528"/>
      <c r="F50" s="2528"/>
      <c r="G50" s="2528"/>
      <c r="H50" s="2528"/>
      <c r="I50" s="2530"/>
      <c r="J50" s="2530"/>
      <c r="K50" s="2529"/>
      <c r="L50" s="1730"/>
      <c r="P50" s="2531"/>
      <c r="Q50" s="2531"/>
      <c r="R50" s="718"/>
      <c r="S50" s="1708"/>
      <c r="T50" s="661"/>
      <c r="U50" s="661"/>
      <c r="V50" s="686"/>
      <c r="W50" s="686"/>
      <c r="X50" s="686"/>
      <c r="Y50" s="689" t="str">
        <f>Z49&amp;"-"&amp;AB49</f>
        <v>-</v>
      </c>
      <c r="Z50" s="2533"/>
      <c r="AA50" s="2402"/>
      <c r="AB50" s="2533"/>
      <c r="AC50" s="2402"/>
      <c r="AD50" s="686"/>
      <c r="AE50" s="686"/>
      <c r="AF50" s="686"/>
      <c r="AG50" s="689" t="str">
        <f>AH49&amp;"-"&amp;AJ49</f>
        <v>-</v>
      </c>
      <c r="AH50" s="2533"/>
      <c r="AI50" s="2402"/>
      <c r="AJ50" s="2535"/>
      <c r="AK50" s="2402"/>
      <c r="AL50" s="1715"/>
      <c r="AM50" s="2558"/>
      <c r="AO50" s="861"/>
      <c r="AP50" s="861" t="str">
        <f>IF(T50="","",T50)</f>
        <v/>
      </c>
      <c r="AQ50" s="861"/>
      <c r="AR50" s="861"/>
    </row>
    <row customHeight="1" ht="11.25">
      <c r="A51" s="1729" t="s">
        <v>174</v>
      </c>
      <c r="B51" s="1729" t="s">
        <v>175</v>
      </c>
      <c r="C51" s="1729" t="s">
        <v>176</v>
      </c>
      <c r="D51" s="1729" t="s">
        <v>177</v>
      </c>
      <c r="E51" s="2528"/>
      <c r="F51" s="2528"/>
      <c r="G51" s="2528"/>
      <c r="H51" s="2528"/>
      <c r="I51" s="2530"/>
      <c r="J51" s="2529"/>
      <c r="K51" s="1729"/>
      <c r="L51" s="1730"/>
      <c r="P51" s="2531"/>
      <c r="Q51" s="2531"/>
      <c r="R51" s="717"/>
      <c r="S51" s="1644"/>
      <c r="T51" s="648" t="s">
        <v>452</v>
      </c>
      <c r="U51" s="728"/>
      <c r="V51" s="728"/>
      <c r="W51" s="728"/>
      <c r="X51" s="728"/>
      <c r="Y51" s="728"/>
      <c r="Z51" s="728"/>
      <c r="AA51" s="728"/>
      <c r="AB51" s="728"/>
      <c r="AC51" s="728"/>
      <c r="AD51" s="728"/>
      <c r="AE51" s="728"/>
      <c r="AF51" s="728"/>
      <c r="AG51" s="728"/>
      <c r="AH51" s="728"/>
      <c r="AI51" s="728"/>
      <c r="AJ51" s="728"/>
      <c r="AK51" s="728"/>
      <c r="AL51" s="685"/>
      <c r="AM51" s="2559"/>
      <c r="AO51" s="861"/>
      <c r="AP51" s="861" t="str">
        <f>IF(T51="","",T51)</f>
        <v>Добавить вид теплоносителя (параметры теплоносителя)</v>
      </c>
      <c r="AQ51" s="861"/>
      <c r="AR51" s="861"/>
    </row>
    <row customHeight="1" ht="11.25">
      <c r="A52" s="1729" t="s">
        <v>174</v>
      </c>
      <c r="B52" s="1729" t="s">
        <v>175</v>
      </c>
      <c r="C52" s="1729" t="s">
        <v>176</v>
      </c>
      <c r="D52" s="1729" t="s">
        <v>177</v>
      </c>
      <c r="E52" s="2528"/>
      <c r="F52" s="2528"/>
      <c r="G52" s="2528"/>
      <c r="H52" s="2528"/>
      <c r="I52" s="2529"/>
      <c r="J52" s="1729"/>
      <c r="K52" s="1729"/>
      <c r="L52" s="1730"/>
      <c r="P52" s="2531"/>
      <c r="Q52" s="1697"/>
      <c r="R52" s="717"/>
      <c r="S52" s="1644"/>
      <c r="T52" s="726" t="s">
        <v>453</v>
      </c>
      <c r="U52" s="728"/>
      <c r="V52" s="728"/>
      <c r="W52" s="728"/>
      <c r="X52" s="728"/>
      <c r="Y52" s="728"/>
      <c r="Z52" s="728"/>
      <c r="AA52" s="728"/>
      <c r="AB52" s="728"/>
      <c r="AC52" s="727"/>
      <c r="AD52" s="728"/>
      <c r="AE52" s="728"/>
      <c r="AF52" s="728"/>
      <c r="AG52" s="728"/>
      <c r="AH52" s="728"/>
      <c r="AI52" s="728"/>
      <c r="AJ52" s="728"/>
      <c r="AK52" s="727"/>
      <c r="AL52" s="728"/>
      <c r="AM52" s="664"/>
      <c r="AO52" s="861"/>
      <c r="AP52" s="861" t="str">
        <f>IF(T52="","",T52)</f>
        <v>Добавить группу потребителей</v>
      </c>
      <c r="AQ52" s="861"/>
      <c r="AR52" s="861"/>
    </row>
    <row customHeight="1" ht="0">
      <c r="A53" s="1729" t="s">
        <v>174</v>
      </c>
      <c r="B53" s="1729" t="s">
        <v>175</v>
      </c>
      <c r="C53" s="1729" t="s">
        <v>176</v>
      </c>
      <c r="D53" s="1729" t="s">
        <v>177</v>
      </c>
      <c r="E53" s="2528"/>
      <c r="F53" s="2528"/>
      <c r="G53" s="2528"/>
      <c r="H53" s="2527"/>
      <c r="I53" s="1729"/>
      <c r="J53" s="1729"/>
      <c r="K53" s="1729"/>
      <c r="L53" s="1730"/>
      <c r="M53" s="1731"/>
      <c r="N53" s="1731"/>
      <c r="O53" s="898"/>
      <c r="P53" s="721"/>
      <c r="Q53" s="736"/>
      <c r="R53" s="716"/>
      <c r="S53" s="1752"/>
      <c r="T53" s="1753"/>
      <c r="U53" s="1754"/>
      <c r="V53" s="1754"/>
      <c r="W53" s="1754"/>
      <c r="X53" s="1754"/>
      <c r="Y53" s="1754"/>
      <c r="Z53" s="1754"/>
      <c r="AA53" s="1754"/>
      <c r="AB53" s="1754"/>
      <c r="AC53" s="1754"/>
      <c r="AD53" s="1754"/>
      <c r="AE53" s="1754"/>
      <c r="AF53" s="1754"/>
      <c r="AG53" s="1754"/>
      <c r="AH53" s="1754"/>
      <c r="AI53" s="1754"/>
      <c r="AJ53" s="1754"/>
      <c r="AK53" s="1754"/>
      <c r="AL53" s="1754"/>
      <c r="AM53" s="1755"/>
      <c r="AO53" s="861"/>
      <c r="AP53" s="861" t="str">
        <f>IF(T53="","",T53)</f>
        <v/>
      </c>
      <c r="AQ53" s="861"/>
      <c r="AR53" s="861"/>
    </row>
    <row s="32198" customFormat="1" customHeight="1" ht="0.75">
      <c r="A54" s="1709" t="s">
        <v>174</v>
      </c>
      <c r="B54" s="1709" t="s">
        <v>175</v>
      </c>
      <c r="C54" s="1709" t="s">
        <v>176</v>
      </c>
      <c r="D54" s="1680"/>
      <c r="E54" s="2528"/>
      <c r="F54" s="2528"/>
      <c r="G54" s="2527"/>
      <c r="H54" s="1680"/>
      <c r="I54" s="1680"/>
      <c r="J54" s="1680"/>
      <c r="K54" s="1680"/>
      <c r="L54" s="1705"/>
      <c r="M54" s="1681"/>
      <c r="N54" s="1681"/>
      <c r="P54" s="1682"/>
      <c r="Q54" s="1683"/>
      <c r="R54" s="1682"/>
      <c r="S54" s="1688"/>
      <c r="T54" s="1691" t="s">
        <v>455</v>
      </c>
      <c r="U54" s="1690"/>
      <c r="V54" s="1690"/>
      <c r="W54" s="1690"/>
      <c r="X54" s="1690"/>
      <c r="Y54" s="1690"/>
      <c r="Z54" s="1690"/>
      <c r="AA54" s="1690"/>
      <c r="AB54" s="1690"/>
      <c r="AC54" s="1690"/>
      <c r="AD54" s="1690"/>
      <c r="AE54" s="1690"/>
      <c r="AF54" s="1690"/>
      <c r="AG54" s="1690"/>
      <c r="AH54" s="1690"/>
      <c r="AI54" s="1690"/>
      <c r="AJ54" s="1690"/>
      <c r="AK54" s="1690"/>
      <c r="AL54" s="1690"/>
      <c r="AM54" s="1690"/>
      <c r="AO54" s="1150"/>
      <c r="AP54" s="1150" t="str">
        <f>IF(T54="","",T54)</f>
        <v>Добавить источник для дифференциации</v>
      </c>
      <c r="AQ54" s="1150"/>
      <c r="AR54" s="1150"/>
    </row>
    <row s="32198" customFormat="1" customHeight="1" ht="0.75">
      <c r="A55" s="1709" t="s">
        <v>174</v>
      </c>
      <c r="B55" s="1709" t="s">
        <v>175</v>
      </c>
      <c r="C55" s="1680"/>
      <c r="D55" s="1680"/>
      <c r="E55" s="2528"/>
      <c r="F55" s="2527"/>
      <c r="G55" s="1680"/>
      <c r="H55" s="1680"/>
      <c r="I55" s="1680"/>
      <c r="J55" s="1680"/>
      <c r="K55" s="1680"/>
      <c r="L55" s="1705"/>
      <c r="M55" s="1687"/>
      <c r="N55" s="1687"/>
      <c r="P55" s="1682"/>
      <c r="Q55" s="1683"/>
      <c r="R55" s="1682"/>
      <c r="S55" s="1688"/>
      <c r="T55" s="1691" t="s">
        <v>262</v>
      </c>
      <c r="U55" s="1690"/>
      <c r="V55" s="1690"/>
      <c r="W55" s="1690"/>
      <c r="X55" s="1690"/>
      <c r="Y55" s="1690"/>
      <c r="Z55" s="1690"/>
      <c r="AA55" s="1690"/>
      <c r="AB55" s="1690"/>
      <c r="AC55" s="1690"/>
      <c r="AD55" s="1690"/>
      <c r="AE55" s="1690"/>
      <c r="AF55" s="1690"/>
      <c r="AG55" s="1690"/>
      <c r="AH55" s="1690"/>
      <c r="AI55" s="1690"/>
      <c r="AJ55" s="1690"/>
      <c r="AK55" s="1690"/>
      <c r="AL55" s="1690"/>
      <c r="AM55" s="1690"/>
      <c r="AO55" s="1150"/>
      <c r="AP55" s="1150" t="str">
        <f>IF(T55="","",T55)</f>
        <v>Добавить централизованную систему для дифференциации</v>
      </c>
      <c r="AQ55" s="1150"/>
      <c r="AR55" s="1150"/>
    </row>
    <row s="32289" customFormat="1" customHeight="1" ht="0.75">
      <c r="A56" s="1709" t="s">
        <v>174</v>
      </c>
      <c r="B56" s="1709"/>
      <c r="C56" s="1709"/>
      <c r="D56" s="1709"/>
      <c r="E56" s="2527"/>
      <c r="F56" s="1709"/>
      <c r="G56" s="1709"/>
      <c r="H56" s="1709"/>
      <c r="I56" s="1709"/>
      <c r="J56" s="1709"/>
      <c r="K56" s="1709"/>
      <c r="L56" s="1712"/>
      <c r="M56" s="1687"/>
      <c r="N56" s="1687"/>
      <c r="O56" s="879"/>
      <c r="P56" s="741"/>
      <c r="Q56" s="1710"/>
      <c r="R56" s="741"/>
      <c r="S56" s="1688"/>
      <c r="T56" s="1691" t="s">
        <v>270</v>
      </c>
      <c r="U56" s="1690"/>
      <c r="V56" s="1690"/>
      <c r="W56" s="1690"/>
      <c r="X56" s="1690"/>
      <c r="Y56" s="1690"/>
      <c r="Z56" s="1690"/>
      <c r="AA56" s="1690"/>
      <c r="AB56" s="1690"/>
      <c r="AC56" s="1690"/>
      <c r="AD56" s="1690"/>
      <c r="AE56" s="1690"/>
      <c r="AF56" s="1690"/>
      <c r="AG56" s="1690"/>
      <c r="AH56" s="1690"/>
      <c r="AI56" s="1690"/>
      <c r="AJ56" s="1690"/>
      <c r="AK56" s="1690"/>
      <c r="AL56" s="1690"/>
      <c r="AM56" s="1690"/>
      <c r="AO56" s="861"/>
      <c r="AP56" s="861" t="str">
        <f>IF(T56="","",T56)</f>
        <v>Добавить территорию для дифференциации</v>
      </c>
      <c r="AQ56" s="861"/>
      <c r="AR56" s="861"/>
    </row>
    <row s="32198" customFormat="1" customHeight="1" ht="0.75">
      <c r="A57" s="1680"/>
      <c r="B57" s="1680"/>
      <c r="C57" s="1680"/>
      <c r="D57" s="1680"/>
      <c r="E57" s="1709"/>
      <c r="F57" s="1680"/>
      <c r="G57" s="1680"/>
      <c r="H57" s="1680"/>
      <c r="I57" s="1680"/>
      <c r="J57" s="1680"/>
      <c r="K57" s="1680"/>
      <c r="L57" s="1705"/>
      <c r="M57" s="1687"/>
      <c r="N57" s="1687"/>
      <c r="P57" s="1682"/>
      <c r="Q57" s="1683"/>
      <c r="R57" s="1682"/>
      <c r="S57" s="1688"/>
      <c r="T57" s="1691" t="s">
        <v>294</v>
      </c>
      <c r="U57" s="1690"/>
      <c r="V57" s="1690"/>
      <c r="W57" s="1690"/>
      <c r="X57" s="1690"/>
      <c r="Y57" s="1690"/>
      <c r="Z57" s="1690"/>
      <c r="AA57" s="1690"/>
      <c r="AB57" s="1690"/>
      <c r="AC57" s="1690"/>
      <c r="AD57" s="1690"/>
      <c r="AE57" s="1690"/>
      <c r="AF57" s="1690"/>
      <c r="AG57" s="1690"/>
      <c r="AH57" s="1690"/>
      <c r="AI57" s="1690"/>
      <c r="AJ57" s="1690"/>
      <c r="AK57" s="1690"/>
      <c r="AL57" s="1690"/>
      <c r="AM57" s="1690"/>
      <c r="AO57" s="1150"/>
      <c r="AP57" s="1150" t="str">
        <f>IF(T57="","",T57)</f>
        <v>Добавить наименование тарифа</v>
      </c>
      <c r="AQ57" s="1150"/>
      <c r="AR57" s="1150"/>
    </row>
    <row customHeight="1" ht="11.25">
      <c r="M58" s="1523"/>
      <c r="N58" s="1523"/>
      <c r="O58" s="898"/>
      <c r="P58" s="1518"/>
      <c r="Q58" s="1518"/>
      <c r="R58" s="1518"/>
      <c r="S58" s="1518"/>
      <c r="AN58" s="1518"/>
      <c r="AO58" s="1518"/>
      <c r="AP58" s="1518"/>
      <c r="AQ58" s="1518"/>
      <c r="AR58" s="1518"/>
    </row>
    <row customHeight="1" ht="18.75">
      <c r="O59" s="898"/>
      <c r="S59" s="1618"/>
      <c r="T59" s="2526"/>
      <c r="U59" s="2526"/>
      <c r="V59" s="2526"/>
      <c r="W59" s="2526"/>
      <c r="X59" s="2526"/>
      <c r="Y59" s="2526"/>
      <c r="Z59" s="2526"/>
      <c r="AA59" s="2526"/>
      <c r="AB59" s="2526"/>
      <c r="AC59" s="2526"/>
      <c r="AD59" s="2526"/>
      <c r="AE59" s="2526"/>
      <c r="AF59" s="2526"/>
      <c r="AG59" s="2526"/>
      <c r="AH59" s="2526"/>
      <c r="AI59" s="2526"/>
      <c r="AJ59" s="2526"/>
      <c r="AK59" s="2526"/>
      <c r="AL59" s="2526"/>
      <c r="AM59" s="2526"/>
    </row>
    <row customHeight="1" ht="27.75">
      <c r="O60" s="898"/>
      <c r="T60" s="2526"/>
      <c r="U60" s="2526"/>
      <c r="V60" s="2526"/>
      <c r="W60" s="2526"/>
      <c r="X60" s="2526"/>
      <c r="Y60" s="2526"/>
      <c r="Z60" s="2526"/>
      <c r="AA60" s="2526"/>
      <c r="AB60" s="2526"/>
      <c r="AC60" s="2526"/>
      <c r="AD60" s="2526"/>
      <c r="AE60" s="2526"/>
      <c r="AF60" s="2526"/>
      <c r="AG60" s="2526"/>
      <c r="AH60" s="2526"/>
      <c r="AI60" s="2526"/>
      <c r="AJ60" s="2526"/>
      <c r="AK60" s="2526"/>
      <c r="AL60" s="2526"/>
      <c r="AM60" s="2526"/>
    </row>
    <row customHeight="1" ht="39.75">
      <c r="O61" s="898"/>
      <c r="T61" s="2526"/>
      <c r="U61" s="2526"/>
      <c r="V61" s="2526"/>
      <c r="W61" s="2526"/>
      <c r="X61" s="2526"/>
      <c r="Y61" s="2526"/>
      <c r="Z61" s="2526"/>
      <c r="AA61" s="2526"/>
      <c r="AB61" s="2526"/>
      <c r="AC61" s="2526"/>
      <c r="AD61" s="2526"/>
      <c r="AE61" s="2526"/>
      <c r="AF61" s="2526"/>
      <c r="AG61" s="2526"/>
      <c r="AH61" s="2526"/>
      <c r="AI61" s="2526"/>
      <c r="AJ61" s="2526"/>
      <c r="AK61" s="2526"/>
      <c r="AL61" s="2526"/>
      <c r="AM61" s="2526"/>
    </row>
    <row customHeight="1" ht="14.25">
      <c r="O62" s="898"/>
    </row>
    <row customHeight="1" ht="19.5">
      <c r="O63" s="898"/>
      <c r="S63" s="1618"/>
      <c r="T63" s="2572"/>
      <c r="U63" s="2526"/>
      <c r="V63" s="2526"/>
      <c r="W63" s="2526"/>
      <c r="X63" s="2526"/>
      <c r="Y63" s="2526"/>
      <c r="Z63" s="2526"/>
      <c r="AA63" s="2526"/>
      <c r="AB63" s="2526"/>
      <c r="AC63" s="2526"/>
      <c r="AD63" s="2526"/>
      <c r="AE63" s="2526"/>
      <c r="AF63" s="2526"/>
      <c r="AG63" s="2526"/>
      <c r="AH63" s="2526"/>
      <c r="AI63" s="2526"/>
      <c r="AJ63" s="2526"/>
      <c r="AK63" s="2526"/>
      <c r="AL63" s="2526"/>
      <c r="AM63" s="2526"/>
    </row>
    <row customHeight="1" ht="27.75">
      <c r="O64" s="898"/>
      <c r="T64" s="2526"/>
      <c r="U64" s="2526"/>
      <c r="V64" s="2526"/>
      <c r="W64" s="2526"/>
      <c r="X64" s="2526"/>
      <c r="Y64" s="2526"/>
      <c r="Z64" s="2526"/>
      <c r="AA64" s="2526"/>
      <c r="AB64" s="2526"/>
      <c r="AC64" s="2526"/>
      <c r="AD64" s="2526"/>
      <c r="AE64" s="2526"/>
      <c r="AF64" s="2526"/>
      <c r="AG64" s="2526"/>
      <c r="AH64" s="2526"/>
      <c r="AI64" s="2526"/>
      <c r="AJ64" s="2526"/>
      <c r="AK64" s="2526"/>
      <c r="AL64" s="2526"/>
      <c r="AM64" s="2526"/>
    </row>
    <row customHeight="1" ht="33.75">
      <c r="T65" s="2526"/>
      <c r="U65" s="2526"/>
      <c r="V65" s="2526"/>
      <c r="W65" s="2526"/>
      <c r="X65" s="2526"/>
      <c r="Y65" s="2526"/>
      <c r="Z65" s="2526"/>
      <c r="AA65" s="2526"/>
      <c r="AB65" s="2526"/>
      <c r="AC65" s="2526"/>
      <c r="AD65" s="2526"/>
      <c r="AE65" s="2526"/>
      <c r="AF65" s="2526"/>
      <c r="AG65" s="2526"/>
      <c r="AH65" s="2526"/>
      <c r="AI65" s="2526"/>
      <c r="AJ65" s="2526"/>
      <c r="AK65" s="2526"/>
      <c r="AL65" s="2526"/>
      <c r="AM65" s="2526"/>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9C8D5-850A-644E-4A58-3C56D3109443}"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217" width="10.57421875" hidden="1"/>
    <col min="2" max="2" style="32217" width="11.00390625" hidden="1" customWidth="1"/>
    <col min="3" max="3" style="32217" width="10.57421875" hidden="1"/>
    <col min="4" max="4" style="32217" width="11.8515625" hidden="1" customWidth="1"/>
    <col min="5" max="5" style="32217" width="10.00390625" hidden="1" customWidth="1"/>
    <col min="6" max="6" style="32217" width="8.7109375" hidden="1" customWidth="1"/>
    <col min="7" max="7" style="32217" width="7.57421875" hidden="1" customWidth="1"/>
    <col min="8" max="8" style="32217" width="11.421875" hidden="1" customWidth="1"/>
    <col min="9" max="9" style="32217" width="12.00390625" hidden="1" customWidth="1"/>
    <col min="10" max="10" style="32217" width="9.8515625" hidden="1" customWidth="1"/>
    <col min="11" max="11" style="32217" width="11.421875" hidden="1" customWidth="1"/>
    <col min="12" max="12" style="32297" width="19.140625" hidden="1" customWidth="1"/>
    <col min="13" max="14" style="32298" width="12.28125" hidden="1" customWidth="1"/>
    <col min="15" max="15" style="32298" width="23.421875" hidden="1" customWidth="1"/>
    <col min="16" max="16" style="32310" width="3.7109375" hidden="1" customWidth="1"/>
    <col min="17" max="18" style="32300" width="3.7109375" customWidth="1"/>
    <col min="19" max="19" style="32301" width="12.7109375" customWidth="1"/>
    <col min="20" max="20" style="32302" width="32.00390625" customWidth="1"/>
    <col min="21" max="21" style="32302" width="0.140625" customWidth="1"/>
    <col min="22" max="22" style="32302" width="24.7109375" hidden="1" customWidth="1"/>
    <col min="23" max="23" style="32302" width="0.140625" hidden="1" customWidth="1"/>
    <col min="24" max="25" style="32302" width="24.7109375" hidden="1" customWidth="1"/>
    <col min="26" max="26" style="32302" width="11.7109375" hidden="1" customWidth="1"/>
    <col min="27" max="27" style="32302" width="3.7109375" hidden="1" customWidth="1"/>
    <col min="28" max="28" style="32302" width="11.7109375" hidden="1" customWidth="1"/>
    <col min="29" max="29" style="32302" width="8.57421875" hidden="1" customWidth="1"/>
    <col min="30" max="30" style="32302" width="24.7109375" customWidth="1"/>
    <col min="31" max="31" style="32302" width="0.140625" customWidth="1"/>
    <col min="32" max="33" style="32302" width="24.7109375" customWidth="1"/>
    <col min="34" max="34" style="32302" width="11.7109375" customWidth="1"/>
    <col min="35" max="35" style="32302" width="3.7109375" customWidth="1"/>
    <col min="36" max="36" style="32302" width="11.7109375" customWidth="1"/>
    <col min="37" max="37" style="32302" width="8.57421875" hidden="1" customWidth="1"/>
    <col min="38" max="38" style="32302" width="4.7109375" customWidth="1"/>
    <col min="39" max="39" style="32302" width="115.7109375" customWidth="1"/>
    <col min="40" max="41" style="32289" width="10.57421875"/>
    <col min="42" max="42" style="32289" width="11.140625" customWidth="1"/>
    <col min="43" max="44" style="32289" width="10.57421875"/>
  </cols>
  <sheetData>
    <row customHeight="1" ht="14.25" hidden="1">
      <c r="A1" s="2238"/>
      <c r="Y1" s="688"/>
      <c r="Z1" s="688"/>
      <c r="AG1" s="688"/>
      <c r="AH1" s="688"/>
    </row>
    <row customHeight="1" ht="21" hidden="1">
      <c r="A2" s="1729"/>
      <c r="B2" s="1729"/>
      <c r="C2" s="1729"/>
      <c r="D2" s="1729"/>
      <c r="E2" s="2527">
        <v>1</v>
      </c>
      <c r="F2" s="1729"/>
      <c r="G2" s="1729"/>
      <c r="H2" s="1729"/>
      <c r="I2" s="1729"/>
      <c r="J2" s="1729"/>
      <c r="K2" s="1729"/>
      <c r="L2" s="1730"/>
      <c r="M2" s="1731"/>
      <c r="N2" s="1731"/>
      <c r="O2" s="1731"/>
      <c r="P2" s="722"/>
      <c r="Q2" s="721"/>
      <c r="R2" s="716"/>
      <c r="S2" s="1702">
        <f>INDEX(PT_DIFFERENTIATION_NUM_NTAR,MATCH(A2,PT_DIFFERENTIATION_NTAR_ID,0))</f>
      </c>
      <c r="T2" s="659" t="s">
        <v>131</v>
      </c>
      <c r="U2" s="661"/>
      <c r="V2" s="2521"/>
      <c r="W2" s="2522"/>
      <c r="X2" s="2522"/>
      <c r="Y2" s="2522"/>
      <c r="Z2" s="2522"/>
      <c r="AA2" s="2522"/>
      <c r="AB2" s="2522"/>
      <c r="AC2" s="2523"/>
      <c r="AD2" s="2521">
        <f>INDEX(PT_DIFFERENTIATION_NTAR,MATCH(A2,PT_DIFFERENTIATION_NTAR_ID,0))</f>
      </c>
      <c r="AE2" s="2522"/>
      <c r="AF2" s="2522"/>
      <c r="AG2" s="2522"/>
      <c r="AH2" s="2522"/>
      <c r="AI2" s="2522"/>
      <c r="AJ2" s="2522"/>
      <c r="AK2" s="2522"/>
      <c r="AL2" s="2523"/>
      <c r="AM2" s="1623" t="s">
        <v>437</v>
      </c>
      <c r="AO2" s="861"/>
      <c r="AP2" s="861" t="str">
        <f>IF(T2="","",T2)</f>
        <v>Наименование тарифа</v>
      </c>
      <c r="AQ2" s="861"/>
      <c r="AR2" s="861"/>
    </row>
    <row customHeight="1" ht="21" hidden="1">
      <c r="A3" s="1729"/>
      <c r="B3" s="1729"/>
      <c r="C3" s="1729"/>
      <c r="D3" s="1729"/>
      <c r="E3" s="2528"/>
      <c r="F3" s="2527">
        <v>1</v>
      </c>
      <c r="G3" s="1729"/>
      <c r="H3" s="1729"/>
      <c r="I3" s="1729"/>
      <c r="J3" s="1729"/>
      <c r="K3" s="1729"/>
      <c r="L3" s="1730"/>
      <c r="M3" s="1731"/>
      <c r="N3" s="1731"/>
      <c r="O3" s="1731"/>
      <c r="P3" s="1698"/>
      <c r="Q3" s="713"/>
      <c r="R3" s="714"/>
      <c r="S3" s="1702">
        <f>INDEX(PT_DIFFERENTIATION_NUM_TER,MATCH(B3,PT_DIFFERENTIATION_TER_ID,0))</f>
      </c>
      <c r="T3" s="669" t="s">
        <v>438</v>
      </c>
      <c r="U3" s="661"/>
      <c r="V3" s="2521"/>
      <c r="W3" s="2522"/>
      <c r="X3" s="2522"/>
      <c r="Y3" s="2522"/>
      <c r="Z3" s="2522"/>
      <c r="AA3" s="2522"/>
      <c r="AB3" s="2522"/>
      <c r="AC3" s="2523"/>
      <c r="AD3" s="2521">
        <f>INDEX(PT_DIFFERENTIATION_TER,MATCH(B3,PT_DIFFERENTIATION_TER_ID,0))</f>
      </c>
      <c r="AE3" s="2522"/>
      <c r="AF3" s="2522"/>
      <c r="AG3" s="2522"/>
      <c r="AH3" s="2522"/>
      <c r="AI3" s="2522"/>
      <c r="AJ3" s="2522"/>
      <c r="AK3" s="2522"/>
      <c r="AL3" s="2523"/>
      <c r="AM3" s="1623" t="s">
        <v>439</v>
      </c>
      <c r="AO3" s="861"/>
      <c r="AP3" s="861" t="str">
        <f>IF(T3="","",T3)</f>
        <v>Территория действия тарифа</v>
      </c>
      <c r="AQ3" s="861"/>
      <c r="AR3" s="861"/>
    </row>
    <row customHeight="1" ht="23.25" hidden="1">
      <c r="A4" s="1729"/>
      <c r="B4" s="1729"/>
      <c r="C4" s="1729"/>
      <c r="D4" s="1729"/>
      <c r="E4" s="2528"/>
      <c r="F4" s="2528"/>
      <c r="G4" s="2527">
        <v>1</v>
      </c>
      <c r="H4" s="1729"/>
      <c r="I4" s="1729"/>
      <c r="J4" s="1729"/>
      <c r="K4" s="1729"/>
      <c r="L4" s="1730"/>
      <c r="M4" s="1731"/>
      <c r="N4" s="1731"/>
      <c r="O4" s="1731"/>
      <c r="P4" s="715"/>
      <c r="Q4" s="713"/>
      <c r="R4" s="714"/>
      <c r="S4" s="1702">
        <f>INDEX(PT_DIFFERENTIATION_NUM_CS,MATCH(C4,PT_DIFFERENTIATION_CS_ID,0))</f>
      </c>
      <c r="T4" s="670" t="s">
        <v>440</v>
      </c>
      <c r="U4" s="661"/>
      <c r="V4" s="2521"/>
      <c r="W4" s="2522"/>
      <c r="X4" s="2522"/>
      <c r="Y4" s="2522"/>
      <c r="Z4" s="2522"/>
      <c r="AA4" s="2522"/>
      <c r="AB4" s="2522"/>
      <c r="AC4" s="2523"/>
      <c r="AD4" s="2521">
        <f>INDEX(PT_DIFFERENTIATION_CS,MATCH(C4,PT_DIFFERENTIATION_CS_ID,0))</f>
      </c>
      <c r="AE4" s="2522"/>
      <c r="AF4" s="2522"/>
      <c r="AG4" s="2522"/>
      <c r="AH4" s="2522"/>
      <c r="AI4" s="2522"/>
      <c r="AJ4" s="2522"/>
      <c r="AK4" s="2522"/>
      <c r="AL4" s="2523"/>
      <c r="AM4" s="1623" t="s">
        <v>441</v>
      </c>
      <c r="AO4" s="861"/>
      <c r="AP4" s="861" t="str">
        <f>IF(T4="","",T4)</f>
        <v>Наименование системы теплоснабжения </v>
      </c>
      <c r="AQ4" s="861"/>
      <c r="AR4" s="861"/>
    </row>
    <row customHeight="1" ht="21" hidden="1">
      <c r="A5" s="1729"/>
      <c r="B5" s="1729"/>
      <c r="C5" s="1729"/>
      <c r="D5" s="1729"/>
      <c r="E5" s="2528"/>
      <c r="F5" s="2528"/>
      <c r="G5" s="2528"/>
      <c r="H5" s="2527">
        <v>1</v>
      </c>
      <c r="I5" s="1729"/>
      <c r="J5" s="1729"/>
      <c r="K5" s="1729"/>
      <c r="L5" s="1730"/>
      <c r="M5" s="1731"/>
      <c r="N5" s="1731"/>
      <c r="O5" s="1731"/>
      <c r="P5" s="715"/>
      <c r="Q5" s="713"/>
      <c r="R5" s="714"/>
      <c r="S5" s="1702">
        <f>INDEX(PT_DIFFERENTIATION_NUM_IST_TE,MATCH(D5,PT_DIFFERENTIATION_IST_TE_ID,0))</f>
      </c>
      <c r="T5" s="671" t="s">
        <v>442</v>
      </c>
      <c r="U5" s="661"/>
      <c r="V5" s="2521"/>
      <c r="W5" s="2522"/>
      <c r="X5" s="2522"/>
      <c r="Y5" s="2522"/>
      <c r="Z5" s="2522"/>
      <c r="AA5" s="2522"/>
      <c r="AB5" s="2522"/>
      <c r="AC5" s="2523"/>
      <c r="AD5" s="2521">
        <f>INDEX(PT_DIFFERENTIATION_IST_TE,MATCH(D5,PT_DIFFERENTIATION_IST_TE_ID,0))</f>
      </c>
      <c r="AE5" s="2522"/>
      <c r="AF5" s="2522"/>
      <c r="AG5" s="2522"/>
      <c r="AH5" s="2522"/>
      <c r="AI5" s="2522"/>
      <c r="AJ5" s="2522"/>
      <c r="AK5" s="2522"/>
      <c r="AL5" s="2523"/>
      <c r="AM5" s="1623" t="s">
        <v>443</v>
      </c>
      <c r="AO5" s="861"/>
      <c r="AP5" s="861" t="str">
        <f>IF(T5="","",T5)</f>
        <v>Источник тепловой энергии  </v>
      </c>
      <c r="AQ5" s="861"/>
      <c r="AR5" s="861"/>
    </row>
    <row customHeight="1" ht="14.25" hidden="1">
      <c r="A6" s="1729"/>
      <c r="B6" s="1729"/>
      <c r="C6" s="1729"/>
      <c r="D6" s="1729"/>
      <c r="E6" s="2528"/>
      <c r="F6" s="2528"/>
      <c r="G6" s="2528"/>
      <c r="H6" s="2528"/>
      <c r="I6" s="2529">
        <f>S5&amp;".1"</f>
      </c>
      <c r="J6" s="1729"/>
      <c r="K6" s="1729"/>
      <c r="L6" s="1730" t="s">
        <v>444</v>
      </c>
      <c r="M6" s="898"/>
      <c r="P6" s="2531">
        <v>1</v>
      </c>
      <c r="Q6" s="1697"/>
      <c r="R6" s="717"/>
      <c r="S6" s="1404"/>
      <c r="T6" s="1749"/>
      <c r="U6" s="1750"/>
      <c r="V6" s="2569"/>
      <c r="W6" s="2570"/>
      <c r="X6" s="2570"/>
      <c r="Y6" s="2570"/>
      <c r="Z6" s="2570"/>
      <c r="AA6" s="2570"/>
      <c r="AB6" s="2570"/>
      <c r="AC6" s="2571"/>
      <c r="AD6" s="2569"/>
      <c r="AE6" s="2570"/>
      <c r="AF6" s="2570"/>
      <c r="AG6" s="2570"/>
      <c r="AH6" s="2570"/>
      <c r="AI6" s="2570"/>
      <c r="AJ6" s="2570"/>
      <c r="AK6" s="2570"/>
      <c r="AL6" s="2571"/>
      <c r="AM6" s="1751"/>
      <c r="AO6" s="861"/>
      <c r="AP6" s="861" t="str">
        <f>IF(T6="","",T6)</f>
        <v/>
      </c>
      <c r="AQ6" s="861"/>
      <c r="AR6" s="861"/>
    </row>
    <row customHeight="1" ht="21" hidden="1">
      <c r="A7" s="1729"/>
      <c r="B7" s="1729"/>
      <c r="C7" s="1729"/>
      <c r="D7" s="1729"/>
      <c r="E7" s="2528"/>
      <c r="F7" s="2528"/>
      <c r="G7" s="2528"/>
      <c r="H7" s="2528"/>
      <c r="I7" s="2530"/>
      <c r="J7" s="2529">
        <f>I6&amp;".1"</f>
      </c>
      <c r="K7" s="1729"/>
      <c r="L7" s="1730" t="s">
        <v>447</v>
      </c>
      <c r="M7" s="898"/>
      <c r="N7" s="1732"/>
      <c r="P7" s="2531"/>
      <c r="Q7" s="2531">
        <v>1</v>
      </c>
      <c r="R7" s="718"/>
      <c r="S7" s="1702">
        <f>$J7</f>
      </c>
      <c r="T7" s="647" t="s">
        <v>448</v>
      </c>
      <c r="U7" s="661"/>
      <c r="V7" s="2515"/>
      <c r="W7" s="2516"/>
      <c r="X7" s="2516"/>
      <c r="Y7" s="2516"/>
      <c r="Z7" s="2516"/>
      <c r="AA7" s="2516"/>
      <c r="AB7" s="2516"/>
      <c r="AC7" s="2517"/>
      <c r="AD7" s="2515"/>
      <c r="AE7" s="2516"/>
      <c r="AF7" s="2516"/>
      <c r="AG7" s="2516"/>
      <c r="AH7" s="2516"/>
      <c r="AI7" s="2516"/>
      <c r="AJ7" s="2516"/>
      <c r="AK7" s="2516"/>
      <c r="AL7" s="2517"/>
      <c r="AM7" s="1623" t="s">
        <v>449</v>
      </c>
      <c r="AO7" s="861"/>
      <c r="AP7" s="861" t="str">
        <f>IF(T7="","",T7)</f>
        <v>Группа потребителей</v>
      </c>
      <c r="AQ7" s="861"/>
      <c r="AR7" s="861"/>
    </row>
    <row customHeight="1" ht="21" hidden="1">
      <c r="A8" s="1729"/>
      <c r="B8" s="1729"/>
      <c r="C8" s="1729"/>
      <c r="D8" s="1729"/>
      <c r="E8" s="2528"/>
      <c r="F8" s="2528"/>
      <c r="G8" s="2528"/>
      <c r="H8" s="2528"/>
      <c r="I8" s="2530"/>
      <c r="J8" s="2530"/>
      <c r="K8" s="2529">
        <f>J7&amp;".1"</f>
      </c>
      <c r="L8" s="1730" t="s">
        <v>450</v>
      </c>
      <c r="M8" s="898"/>
      <c r="N8" s="1732"/>
      <c r="O8" s="1732"/>
      <c r="P8" s="2531"/>
      <c r="Q8" s="2531"/>
      <c r="R8" s="718">
        <v>1</v>
      </c>
      <c r="S8" s="1702">
        <f>$K8</f>
      </c>
      <c r="T8" s="1713"/>
      <c r="U8" s="661"/>
      <c r="V8" s="1112"/>
      <c r="W8" s="686"/>
      <c r="X8" s="1112"/>
      <c r="Y8" s="1622"/>
      <c r="Z8" s="2532"/>
      <c r="AA8" s="2402" t="s">
        <v>66</v>
      </c>
      <c r="AB8" s="2532"/>
      <c r="AC8" s="2402" t="s">
        <v>66</v>
      </c>
      <c r="AD8" s="1112"/>
      <c r="AE8" s="686"/>
      <c r="AF8" s="1112"/>
      <c r="AG8" s="1622"/>
      <c r="AH8" s="2532"/>
      <c r="AI8" s="2402" t="s">
        <v>66</v>
      </c>
      <c r="AJ8" s="2532"/>
      <c r="AK8" s="2402" t="s">
        <v>66</v>
      </c>
      <c r="AL8" s="686"/>
      <c r="AM8" s="2557" t="s">
        <v>451</v>
      </c>
      <c r="AN8" s="872">
        <f>STRCHECKDATE(V9:AL9)</f>
      </c>
      <c r="AO8" s="861"/>
      <c r="AP8" s="861" t="str">
        <f>IF(T8="","",T8)</f>
        <v/>
      </c>
      <c r="AQ8" s="861"/>
      <c r="AR8" s="861"/>
    </row>
    <row customHeight="1" ht="14.25" hidden="1">
      <c r="A9" s="1729"/>
      <c r="B9" s="1729"/>
      <c r="C9" s="1729"/>
      <c r="D9" s="1729"/>
      <c r="E9" s="2528"/>
      <c r="F9" s="2528"/>
      <c r="G9" s="2528"/>
      <c r="H9" s="2528"/>
      <c r="I9" s="2530"/>
      <c r="J9" s="2530"/>
      <c r="K9" s="2529"/>
      <c r="L9" s="1730"/>
      <c r="M9" s="898"/>
      <c r="N9" s="1732"/>
      <c r="O9" s="1732"/>
      <c r="P9" s="2531"/>
      <c r="Q9" s="2531"/>
      <c r="R9" s="718"/>
      <c r="S9" s="1708"/>
      <c r="T9" s="661"/>
      <c r="U9" s="661"/>
      <c r="V9" s="686"/>
      <c r="W9" s="686"/>
      <c r="X9" s="686"/>
      <c r="Y9" s="689" t="str">
        <f>Z8&amp;"-"&amp;AB8</f>
        <v>-</v>
      </c>
      <c r="Z9" s="2533"/>
      <c r="AA9" s="2402"/>
      <c r="AB9" s="2533"/>
      <c r="AC9" s="2402"/>
      <c r="AD9" s="686"/>
      <c r="AE9" s="686"/>
      <c r="AF9" s="686"/>
      <c r="AG9" s="689" t="str">
        <f>AH8&amp;"-"&amp;AJ8</f>
        <v>-</v>
      </c>
      <c r="AH9" s="2533"/>
      <c r="AI9" s="2402"/>
      <c r="AJ9" s="2533"/>
      <c r="AK9" s="2402"/>
      <c r="AL9" s="686"/>
      <c r="AM9" s="2558"/>
      <c r="AO9" s="861"/>
      <c r="AP9" s="861" t="str">
        <f>IF(T9="","",T9)</f>
        <v/>
      </c>
      <c r="AQ9" s="861"/>
      <c r="AR9" s="861"/>
    </row>
    <row customHeight="1" ht="15" hidden="1">
      <c r="A10" s="1729"/>
      <c r="B10" s="1729"/>
      <c r="C10" s="1729"/>
      <c r="D10" s="1729"/>
      <c r="E10" s="2528"/>
      <c r="F10" s="2528"/>
      <c r="G10" s="2528"/>
      <c r="H10" s="2528"/>
      <c r="I10" s="2530"/>
      <c r="J10" s="2529"/>
      <c r="K10" s="1729"/>
      <c r="L10" s="1730"/>
      <c r="M10" s="898"/>
      <c r="N10" s="1732"/>
      <c r="P10" s="2531"/>
      <c r="Q10" s="2531"/>
      <c r="R10" s="717"/>
      <c r="S10" s="1644"/>
      <c r="T10" s="648" t="s">
        <v>452</v>
      </c>
      <c r="U10" s="728"/>
      <c r="V10" s="728"/>
      <c r="W10" s="728"/>
      <c r="X10" s="728"/>
      <c r="Y10" s="728"/>
      <c r="Z10" s="728"/>
      <c r="AA10" s="728"/>
      <c r="AB10" s="728"/>
      <c r="AC10" s="728"/>
      <c r="AD10" s="728"/>
      <c r="AE10" s="728"/>
      <c r="AF10" s="728"/>
      <c r="AG10" s="728"/>
      <c r="AH10" s="728"/>
      <c r="AI10" s="728"/>
      <c r="AJ10" s="728"/>
      <c r="AK10" s="728"/>
      <c r="AL10" s="685"/>
      <c r="AM10" s="2559"/>
      <c r="AO10" s="861"/>
      <c r="AP10" s="861" t="str">
        <f>IF(T10="","",T10)</f>
        <v>Добавить вид теплоносителя (параметры теплоносителя)</v>
      </c>
      <c r="AQ10" s="861"/>
      <c r="AR10" s="861"/>
    </row>
    <row customHeight="1" ht="11.25" hidden="1">
      <c r="A11" s="1729"/>
      <c r="B11" s="1729"/>
      <c r="C11" s="1729"/>
      <c r="D11" s="1729"/>
      <c r="E11" s="2528"/>
      <c r="F11" s="2528"/>
      <c r="G11" s="2528"/>
      <c r="H11" s="2528"/>
      <c r="I11" s="2529"/>
      <c r="J11" s="1729"/>
      <c r="K11" s="1729"/>
      <c r="L11" s="1730"/>
      <c r="M11" s="898"/>
      <c r="P11" s="2531"/>
      <c r="Q11" s="1697"/>
      <c r="R11" s="717"/>
      <c r="S11" s="1644"/>
      <c r="T11" s="726" t="s">
        <v>453</v>
      </c>
      <c r="U11" s="728"/>
      <c r="V11" s="728"/>
      <c r="W11" s="728"/>
      <c r="X11" s="728"/>
      <c r="Y11" s="728"/>
      <c r="Z11" s="728"/>
      <c r="AA11" s="728"/>
      <c r="AB11" s="728"/>
      <c r="AC11" s="727"/>
      <c r="AD11" s="728"/>
      <c r="AE11" s="728"/>
      <c r="AF11" s="728"/>
      <c r="AG11" s="728"/>
      <c r="AH11" s="728"/>
      <c r="AI11" s="728"/>
      <c r="AJ11" s="728"/>
      <c r="AK11" s="727"/>
      <c r="AL11" s="728"/>
      <c r="AM11" s="664"/>
      <c r="AO11" s="861"/>
      <c r="AP11" s="861" t="str">
        <f>IF(T11="","",T11)</f>
        <v>Добавить группу потребителей</v>
      </c>
      <c r="AQ11" s="861"/>
      <c r="AR11" s="861"/>
    </row>
    <row customHeight="1" ht="14.25" hidden="1">
      <c r="A12" s="1729"/>
      <c r="B12" s="1729"/>
      <c r="C12" s="1729"/>
      <c r="D12" s="1729"/>
      <c r="E12" s="2528"/>
      <c r="F12" s="2528"/>
      <c r="G12" s="2528"/>
      <c r="H12" s="2527"/>
      <c r="I12" s="1729"/>
      <c r="J12" s="1729"/>
      <c r="K12" s="1729"/>
      <c r="L12" s="1730"/>
      <c r="M12" s="1731"/>
      <c r="N12" s="1731"/>
      <c r="O12" s="898"/>
      <c r="P12" s="721"/>
      <c r="Q12" s="736"/>
      <c r="R12" s="716"/>
      <c r="S12" s="1752"/>
      <c r="T12" s="1753"/>
      <c r="U12" s="1754"/>
      <c r="V12" s="1754"/>
      <c r="W12" s="1754"/>
      <c r="X12" s="1754"/>
      <c r="Y12" s="1754"/>
      <c r="Z12" s="1754"/>
      <c r="AA12" s="1754"/>
      <c r="AB12" s="1754"/>
      <c r="AC12" s="1754"/>
      <c r="AD12" s="1754"/>
      <c r="AE12" s="1754"/>
      <c r="AF12" s="1754"/>
      <c r="AG12" s="1754"/>
      <c r="AH12" s="1754"/>
      <c r="AI12" s="1754"/>
      <c r="AJ12" s="1754"/>
      <c r="AK12" s="1754"/>
      <c r="AL12" s="1754"/>
      <c r="AM12" s="1755"/>
      <c r="AO12" s="861"/>
      <c r="AP12" s="861" t="str">
        <f>IF(T12="","",T12)</f>
        <v/>
      </c>
      <c r="AQ12" s="861"/>
      <c r="AR12" s="861"/>
    </row>
    <row s="32198" customFormat="1" customHeight="1" ht="14.25" hidden="1">
      <c r="A13" s="1680"/>
      <c r="B13" s="1680"/>
      <c r="C13" s="1680"/>
      <c r="D13" s="1680"/>
      <c r="E13" s="2528"/>
      <c r="F13" s="2528"/>
      <c r="G13" s="2527"/>
      <c r="H13" s="1680"/>
      <c r="I13" s="1680"/>
      <c r="J13" s="1680"/>
      <c r="K13" s="1680"/>
      <c r="L13" s="1705"/>
      <c r="M13" s="1681"/>
      <c r="N13" s="1681"/>
      <c r="P13" s="1682"/>
      <c r="Q13" s="1683"/>
      <c r="R13" s="1682"/>
      <c r="S13" s="1684"/>
      <c r="T13" s="1685" t="s">
        <v>455</v>
      </c>
      <c r="U13" s="1686"/>
      <c r="V13" s="1686"/>
      <c r="W13" s="1686"/>
      <c r="X13" s="1686"/>
      <c r="Y13" s="1686"/>
      <c r="Z13" s="1686"/>
      <c r="AA13" s="1686"/>
      <c r="AB13" s="1686"/>
      <c r="AC13" s="1686"/>
      <c r="AD13" s="1686"/>
      <c r="AE13" s="1686"/>
      <c r="AF13" s="1686"/>
      <c r="AG13" s="1686"/>
      <c r="AH13" s="1686"/>
      <c r="AI13" s="1686"/>
      <c r="AJ13" s="1686"/>
      <c r="AK13" s="1686"/>
      <c r="AL13" s="1686"/>
      <c r="AM13" s="1686"/>
      <c r="AO13" s="1150"/>
      <c r="AP13" s="1150" t="str">
        <f>IF(T13="","",T13)</f>
        <v>Добавить источник для дифференциации</v>
      </c>
      <c r="AQ13" s="1150"/>
      <c r="AR13" s="1150"/>
    </row>
    <row s="32198" customFormat="1" customHeight="1" ht="14.25" hidden="1">
      <c r="A14" s="1680"/>
      <c r="B14" s="1680"/>
      <c r="C14" s="1680"/>
      <c r="D14" s="1680"/>
      <c r="E14" s="2528"/>
      <c r="F14" s="2527"/>
      <c r="G14" s="1680"/>
      <c r="H14" s="1680"/>
      <c r="I14" s="1680"/>
      <c r="J14" s="1680"/>
      <c r="K14" s="1680"/>
      <c r="L14" s="1705"/>
      <c r="M14" s="1687"/>
      <c r="N14" s="1687"/>
      <c r="P14" s="1682"/>
      <c r="Q14" s="1683"/>
      <c r="R14" s="1682"/>
      <c r="S14" s="1688"/>
      <c r="T14" s="1689" t="s">
        <v>262</v>
      </c>
      <c r="U14" s="1690"/>
      <c r="V14" s="1690"/>
      <c r="W14" s="1690"/>
      <c r="X14" s="1690"/>
      <c r="Y14" s="1690"/>
      <c r="Z14" s="1690"/>
      <c r="AA14" s="1690"/>
      <c r="AB14" s="1690"/>
      <c r="AC14" s="1690"/>
      <c r="AD14" s="1690"/>
      <c r="AE14" s="1690"/>
      <c r="AF14" s="1690"/>
      <c r="AG14" s="1690"/>
      <c r="AH14" s="1690"/>
      <c r="AI14" s="1690"/>
      <c r="AJ14" s="1690"/>
      <c r="AK14" s="1690"/>
      <c r="AL14" s="1690"/>
      <c r="AM14" s="1690"/>
      <c r="AO14" s="1150"/>
      <c r="AP14" s="1150" t="str">
        <f>IF(T14="","",T14)</f>
        <v>Добавить централизованную систему для дифференциации</v>
      </c>
      <c r="AQ14" s="1150"/>
      <c r="AR14" s="1150"/>
    </row>
    <row s="32198" customFormat="1" customHeight="1" ht="14.25" hidden="1">
      <c r="A15" s="1680"/>
      <c r="B15" s="1680"/>
      <c r="C15" s="1680"/>
      <c r="D15" s="1680"/>
      <c r="E15" s="2527"/>
      <c r="F15" s="1680"/>
      <c r="G15" s="1680"/>
      <c r="H15" s="1680"/>
      <c r="I15" s="1680"/>
      <c r="J15" s="1680"/>
      <c r="K15" s="1680"/>
      <c r="L15" s="1705"/>
      <c r="M15" s="1687"/>
      <c r="N15" s="1687"/>
      <c r="P15" s="1682"/>
      <c r="Q15" s="1683"/>
      <c r="R15" s="1682"/>
      <c r="S15" s="1688"/>
      <c r="T15" s="1691" t="s">
        <v>270</v>
      </c>
      <c r="U15" s="1690"/>
      <c r="V15" s="1690"/>
      <c r="W15" s="1690"/>
      <c r="X15" s="1690"/>
      <c r="Y15" s="1690"/>
      <c r="Z15" s="1690"/>
      <c r="AA15" s="1690"/>
      <c r="AB15" s="1690"/>
      <c r="AC15" s="1690"/>
      <c r="AD15" s="1690"/>
      <c r="AE15" s="1690"/>
      <c r="AF15" s="1690"/>
      <c r="AG15" s="1690"/>
      <c r="AH15" s="1690"/>
      <c r="AI15" s="1690"/>
      <c r="AJ15" s="1690"/>
      <c r="AK15" s="1690"/>
      <c r="AL15" s="1690"/>
      <c r="AM15" s="1690"/>
      <c r="AO15" s="1150"/>
      <c r="AP15" s="1150" t="str">
        <f>IF(T15="","",T15)</f>
        <v>Добавить территорию для дифференциации</v>
      </c>
      <c r="AQ15" s="1150"/>
      <c r="AR15" s="1150"/>
    </row>
    <row customHeight="1" ht="14.25" hidden="1">
      <c r="AC16" s="688"/>
      <c r="AK16" s="688"/>
    </row>
    <row customHeight="1" ht="14.25" hidden="1">
      <c r="AD17" s="1726"/>
      <c r="AE17" s="1726"/>
      <c r="AF17" s="1726"/>
      <c r="AG17" s="1727"/>
      <c r="AH17" s="2525"/>
      <c r="AI17" s="2524" t="s">
        <v>66</v>
      </c>
      <c r="AJ17" s="2525"/>
      <c r="AK17" s="2524" t="s">
        <v>66</v>
      </c>
    </row>
    <row customHeight="1" ht="14.25" hidden="1">
      <c r="AD18" s="1726"/>
      <c r="AE18" s="1726"/>
      <c r="AF18" s="1726"/>
      <c r="AG18" s="689" t="str">
        <f>AH17&amp;"-"&amp;AJ17</f>
        <v>-</v>
      </c>
      <c r="AH18" s="2524"/>
      <c r="AI18" s="2524"/>
      <c r="AJ18" s="2524"/>
      <c r="AK18" s="2524"/>
    </row>
    <row customHeight="1" ht="14.25" hidden="1">
      <c r="AK19" s="688"/>
    </row>
    <row s="32217" customFormat="1" customHeight="1" ht="22.5" hidden="1">
      <c r="L20" s="1695"/>
      <c r="M20" s="1728"/>
      <c r="N20" s="1728"/>
      <c r="O20" s="1733" t="s">
        <v>456</v>
      </c>
      <c r="P20" s="1728"/>
      <c r="Q20" s="1737"/>
      <c r="R20" s="1737"/>
      <c r="S20" s="1090"/>
      <c r="Z20" s="1733"/>
      <c r="AB20" s="1733"/>
      <c r="AC20" s="1732"/>
      <c r="AH20" s="1733"/>
      <c r="AJ20" s="1733"/>
      <c r="AK20" s="1732"/>
      <c r="AN20" s="872"/>
      <c r="AO20" s="872"/>
      <c r="AP20" s="872"/>
      <c r="AQ20" s="872"/>
      <c r="AR20" s="872"/>
    </row>
    <row s="32217" customFormat="1" customHeight="1" ht="14.25" hidden="1">
      <c r="L21" s="1695"/>
      <c r="M21" s="1728"/>
      <c r="N21" s="1728"/>
      <c r="O21" s="1728"/>
      <c r="P21" s="1728"/>
      <c r="Q21" s="1737"/>
      <c r="R21" s="1737"/>
      <c r="S21" s="1090"/>
      <c r="AC21" s="1732"/>
      <c r="AK21" s="1732"/>
      <c r="AN21" s="872"/>
      <c r="AO21" s="872"/>
      <c r="AP21" s="872"/>
      <c r="AQ21" s="872"/>
      <c r="AR21" s="872"/>
    </row>
    <row s="32217" customFormat="1" customHeight="1" ht="14.25" hidden="1">
      <c r="L22" s="1695"/>
      <c r="M22" s="1728"/>
      <c r="N22" s="1728"/>
      <c r="O22" s="1730" t="s">
        <v>457</v>
      </c>
      <c r="P22" s="1728"/>
      <c r="Q22" s="1737"/>
      <c r="R22" s="1737"/>
      <c r="S22" s="1090"/>
      <c r="T22" s="1523" t="s">
        <v>458</v>
      </c>
      <c r="AA22" s="547" t="s">
        <v>459</v>
      </c>
      <c r="AC22" s="547" t="s">
        <v>460</v>
      </c>
      <c r="AD22" s="1523" t="s">
        <v>458</v>
      </c>
      <c r="AI22" s="547" t="s">
        <v>461</v>
      </c>
      <c r="AK22" s="547" t="s">
        <v>460</v>
      </c>
      <c r="AN22" s="872"/>
      <c r="AO22" s="872"/>
      <c r="AP22" s="872"/>
      <c r="AQ22" s="872"/>
      <c r="AR22" s="872"/>
    </row>
    <row customHeight="1" ht="14.25" hidden="1">
      <c r="O23" s="1730"/>
    </row>
    <row customHeight="1" ht="14.25" hidden="1">
      <c r="O24" s="1730"/>
    </row>
    <row customHeight="1" ht="14.25">
      <c r="Q25" s="737"/>
      <c r="R25" s="737"/>
      <c r="S25" s="1641"/>
      <c r="T25" s="724"/>
      <c r="U25" s="724"/>
      <c r="V25" s="870"/>
      <c r="W25" s="870"/>
      <c r="X25" s="870"/>
      <c r="Y25" s="870"/>
      <c r="Z25" s="870"/>
      <c r="AA25" s="870"/>
      <c r="AB25" s="870"/>
      <c r="AC25" s="870"/>
      <c r="AD25" s="870"/>
      <c r="AE25" s="870"/>
      <c r="AF25" s="870"/>
      <c r="AG25" s="870"/>
      <c r="AH25" s="870"/>
      <c r="AI25" s="870"/>
      <c r="AJ25" s="870"/>
      <c r="AK25" s="870"/>
    </row>
    <row customHeight="1" ht="51.75">
      <c r="Q26" s="737"/>
      <c r="R26" s="737"/>
      <c r="S26" s="257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73"/>
      <c r="U26" s="2573"/>
      <c r="V26" s="2573"/>
      <c r="W26" s="2573"/>
      <c r="X26" s="2573"/>
      <c r="Y26" s="2573"/>
      <c r="Z26" s="2573"/>
      <c r="AA26" s="2573"/>
      <c r="AB26" s="2573"/>
      <c r="AC26" s="2573"/>
      <c r="AD26" s="2573"/>
      <c r="AE26" s="2573"/>
      <c r="AF26" s="2573"/>
      <c r="AG26" s="2573"/>
      <c r="AH26" s="2573"/>
      <c r="AI26" s="2573"/>
      <c r="AJ26" s="2573"/>
      <c r="AK26" s="1608"/>
    </row>
    <row customHeight="1" ht="14.25">
      <c r="Q27" s="737"/>
      <c r="R27" s="737"/>
      <c r="S27" s="2561" t="str">
        <f>IF(org=0,"Не определено",org)</f>
        <v>АО "Мурманэнергосбыт"</v>
      </c>
      <c r="T27" s="2561"/>
      <c r="U27" s="2561"/>
      <c r="V27" s="2561"/>
      <c r="W27" s="2561"/>
      <c r="X27" s="2561"/>
      <c r="Y27" s="2561"/>
      <c r="Z27" s="2561"/>
      <c r="AA27" s="2561"/>
      <c r="AB27" s="2561"/>
      <c r="AC27" s="2561"/>
      <c r="AD27" s="2561"/>
      <c r="AE27" s="2561"/>
      <c r="AF27" s="2561"/>
      <c r="AG27" s="2561"/>
      <c r="AH27" s="2561"/>
      <c r="AI27" s="2561"/>
      <c r="AJ27" s="2561"/>
      <c r="AK27" s="1608"/>
    </row>
    <row customHeight="1" ht="14.25">
      <c r="Q28" s="737"/>
      <c r="R28" s="737"/>
      <c r="S28" s="1641"/>
      <c r="T28" s="724"/>
      <c r="U28" s="724"/>
      <c r="V28" s="683"/>
      <c r="W28" s="683"/>
      <c r="X28" s="683"/>
      <c r="Y28" s="683"/>
      <c r="Z28" s="683"/>
      <c r="AA28" s="683"/>
      <c r="AB28" s="683"/>
      <c r="AC28" s="683"/>
      <c r="AD28" s="683"/>
      <c r="AE28" s="683"/>
      <c r="AF28" s="683"/>
      <c r="AG28" s="683"/>
      <c r="AH28" s="683"/>
      <c r="AI28" s="683"/>
      <c r="AJ28" s="683"/>
      <c r="AK28" s="683"/>
      <c r="AL28" s="870"/>
    </row>
    <row s="32230" customFormat="1" customHeight="1" ht="25.5">
      <c r="A29" s="1734"/>
      <c r="B29" s="1734"/>
      <c r="C29" s="1734"/>
      <c r="D29" s="1734"/>
      <c r="E29" s="1734"/>
      <c r="F29" s="1734"/>
      <c r="G29" s="1734"/>
      <c r="H29" s="1734"/>
      <c r="I29" s="1734"/>
      <c r="J29" s="1734"/>
      <c r="K29" s="1734"/>
      <c r="L29" s="1735"/>
      <c r="M29" s="1734"/>
      <c r="N29" s="1734"/>
      <c r="O29" s="1734"/>
      <c r="S29" s="2518" t="s">
        <v>38</v>
      </c>
      <c r="T29" s="2518"/>
      <c r="U29" s="1738"/>
      <c r="V29" s="2520" t="str">
        <f>IF(TITLE_NAME_OR_PR_CHANGE="",IF(TITLE_NAME_OR_PR="","",TITLE_NAME_OR_PR),TITLE_NAME_OR_PR_CHANGE)</f>
        <v>Комитет по тарифному регулированию Мурманской области</v>
      </c>
      <c r="W29" s="2520"/>
      <c r="X29" s="2520"/>
      <c r="Y29" s="2520"/>
      <c r="Z29" s="2520"/>
      <c r="AA29" s="2520"/>
      <c r="AB29" s="2520"/>
      <c r="AC29" s="687"/>
      <c r="AD29" s="2520" t="str">
        <f>IF(TITLE_NAME_OR_PR_CHANGE="",IF(TITLE_NAME_OR_PR="","",TITLE_NAME_OR_PR),TITLE_NAME_OR_PR_CHANGE)</f>
        <v>Комитет по тарифному регулированию Мурманской области</v>
      </c>
      <c r="AE29" s="2520"/>
      <c r="AF29" s="2520"/>
      <c r="AG29" s="2520"/>
      <c r="AH29" s="2520"/>
      <c r="AI29" s="2520"/>
      <c r="AJ29" s="2520"/>
      <c r="AK29" s="687"/>
      <c r="AL29" s="687"/>
      <c r="AM29" s="641"/>
      <c r="AN29" s="729"/>
      <c r="AO29" s="729"/>
      <c r="AP29" s="729"/>
      <c r="AQ29" s="729"/>
      <c r="AR29" s="729"/>
    </row>
    <row s="32230" customFormat="1" customHeight="1" ht="18.75">
      <c r="A30" s="1734"/>
      <c r="B30" s="1734"/>
      <c r="C30" s="1734"/>
      <c r="D30" s="1734"/>
      <c r="E30" s="1734"/>
      <c r="F30" s="1734"/>
      <c r="G30" s="1734"/>
      <c r="H30" s="1734"/>
      <c r="I30" s="1734"/>
      <c r="J30" s="1734"/>
      <c r="K30" s="1734"/>
      <c r="L30" s="1735"/>
      <c r="M30" s="1734"/>
      <c r="N30" s="1734"/>
      <c r="O30" s="1734"/>
      <c r="S30" s="2518" t="s">
        <v>462</v>
      </c>
      <c r="T30" s="2518"/>
      <c r="U30" s="1738"/>
      <c r="V30" s="2519" t="str">
        <f>IF(TITLE_DATE_PR_CHANGE="",IF(TITLE_DATE_PR="","",TITLE_DATE_PR),TITLE_DATE_PR_CHANGE)</f>
        <v>45280</v>
      </c>
      <c r="W30" s="2519"/>
      <c r="X30" s="2519"/>
      <c r="Y30" s="2519"/>
      <c r="Z30" s="2519"/>
      <c r="AA30" s="2519"/>
      <c r="AB30" s="2519"/>
      <c r="AC30" s="687"/>
      <c r="AD30" s="2519" t="str">
        <f>IF(TITLE_DATE_PR_CHANGE="",IF(TITLE_DATE_PR="","",TITLE_DATE_PR),TITLE_DATE_PR_CHANGE)</f>
        <v>45280</v>
      </c>
      <c r="AE30" s="2519"/>
      <c r="AF30" s="2519"/>
      <c r="AG30" s="2519"/>
      <c r="AH30" s="2519"/>
      <c r="AI30" s="2519"/>
      <c r="AJ30" s="2519"/>
      <c r="AK30" s="687"/>
      <c r="AL30" s="687"/>
      <c r="AM30" s="641"/>
      <c r="AN30" s="729"/>
      <c r="AO30" s="729"/>
      <c r="AP30" s="729"/>
      <c r="AQ30" s="729"/>
      <c r="AR30" s="729"/>
    </row>
    <row s="32230" customFormat="1" customHeight="1" ht="18.75">
      <c r="A31" s="1734"/>
      <c r="B31" s="1734"/>
      <c r="C31" s="1734"/>
      <c r="D31" s="1734"/>
      <c r="E31" s="1734"/>
      <c r="F31" s="1734"/>
      <c r="G31" s="1734"/>
      <c r="H31" s="1734"/>
      <c r="I31" s="1734"/>
      <c r="J31" s="1734"/>
      <c r="K31" s="1734"/>
      <c r="L31" s="1735"/>
      <c r="M31" s="1734"/>
      <c r="N31" s="1734"/>
      <c r="O31" s="1734"/>
      <c r="S31" s="2518" t="s">
        <v>463</v>
      </c>
      <c r="T31" s="2518"/>
      <c r="U31" s="1738"/>
      <c r="V31" s="2520" t="str">
        <f>IF(TITLE_NUMBER_PR_CHANGE="",IF(TITLE_NUMBER_PR="","",TITLE_NUMBER_PR),TITLE_NUMBER_PR_CHANGE)</f>
        <v>51/16</v>
      </c>
      <c r="W31" s="2520"/>
      <c r="X31" s="2520"/>
      <c r="Y31" s="2520"/>
      <c r="Z31" s="2520"/>
      <c r="AA31" s="2520"/>
      <c r="AB31" s="2520"/>
      <c r="AC31" s="687"/>
      <c r="AD31" s="2520" t="str">
        <f>IF(TITLE_NUMBER_PR_CHANGE="",IF(TITLE_NUMBER_PR="","",TITLE_NUMBER_PR),TITLE_NUMBER_PR_CHANGE)</f>
        <v>51/16</v>
      </c>
      <c r="AE31" s="2520"/>
      <c r="AF31" s="2520"/>
      <c r="AG31" s="2520"/>
      <c r="AH31" s="2520"/>
      <c r="AI31" s="2520"/>
      <c r="AJ31" s="2520"/>
      <c r="AK31" s="687"/>
      <c r="AL31" s="687"/>
      <c r="AM31" s="641"/>
      <c r="AN31" s="729"/>
      <c r="AO31" s="729"/>
      <c r="AP31" s="729"/>
      <c r="AQ31" s="729"/>
      <c r="AR31" s="729"/>
    </row>
    <row s="32230" customFormat="1" customHeight="1" ht="18.75">
      <c r="A32" s="1734"/>
      <c r="B32" s="1734"/>
      <c r="C32" s="1734"/>
      <c r="D32" s="1734"/>
      <c r="E32" s="1734"/>
      <c r="F32" s="1734"/>
      <c r="G32" s="1734"/>
      <c r="H32" s="1734"/>
      <c r="I32" s="1734"/>
      <c r="J32" s="1734"/>
      <c r="K32" s="1734"/>
      <c r="L32" s="1735"/>
      <c r="M32" s="1734"/>
      <c r="N32" s="1734"/>
      <c r="O32" s="1734"/>
      <c r="S32" s="2518" t="s">
        <v>40</v>
      </c>
      <c r="T32" s="2518"/>
      <c r="U32" s="1738"/>
      <c r="V32" s="2520" t="str">
        <f>IF(TITLE_IST_PUB_CHANGE="",IF(TITLE_IST_PUB="","",TITLE_IST_PUB),TITLE_IST_PUB_CHANGE)</f>
        <v>https://npa.gov-murman.ru/bitrix/components/b1team/govmurman.element.file/download.php?ID=508455&amp;FID=750728</v>
      </c>
      <c r="W32" s="2520"/>
      <c r="X32" s="2520"/>
      <c r="Y32" s="2520"/>
      <c r="Z32" s="2520"/>
      <c r="AA32" s="2520"/>
      <c r="AB32" s="2520"/>
      <c r="AC32" s="687"/>
      <c r="AD32" s="2520" t="str">
        <f>IF(TITLE_IST_PUB_CHANGE="",IF(TITLE_IST_PUB="","",TITLE_IST_PUB),TITLE_IST_PUB_CHANGE)</f>
        <v>https://npa.gov-murman.ru/bitrix/components/b1team/govmurman.element.file/download.php?ID=508455&amp;FID=750728</v>
      </c>
      <c r="AE32" s="2520"/>
      <c r="AF32" s="2520"/>
      <c r="AG32" s="2520"/>
      <c r="AH32" s="2520"/>
      <c r="AI32" s="2520"/>
      <c r="AJ32" s="2520"/>
      <c r="AK32" s="687"/>
      <c r="AL32" s="687"/>
      <c r="AM32" s="641"/>
      <c r="AN32" s="729"/>
      <c r="AO32" s="729"/>
      <c r="AP32" s="729"/>
      <c r="AQ32" s="729"/>
      <c r="AR32" s="729"/>
    </row>
    <row customHeight="1" ht="14.25" hidden="1">
      <c r="Q33" s="737"/>
      <c r="R33" s="737"/>
      <c r="S33" s="1641"/>
      <c r="T33" s="724"/>
      <c r="U33" s="724"/>
      <c r="V33" s="683"/>
      <c r="W33" s="683"/>
      <c r="X33" s="683"/>
      <c r="Y33" s="683"/>
      <c r="Z33" s="683"/>
      <c r="AA33" s="683"/>
      <c r="AB33" s="683"/>
      <c r="AC33" s="683"/>
      <c r="AD33" s="683"/>
      <c r="AE33" s="683"/>
      <c r="AF33" s="683"/>
      <c r="AG33" s="683"/>
      <c r="AH33" s="683"/>
      <c r="AI33" s="683"/>
      <c r="AJ33" s="683"/>
      <c r="AK33" s="683"/>
      <c r="AL33" s="870"/>
    </row>
    <row s="32230" customFormat="1" customHeight="1" ht="18.75" hidden="1">
      <c r="A34" s="1734"/>
      <c r="B34" s="1734"/>
      <c r="C34" s="1734"/>
      <c r="D34" s="1734"/>
      <c r="E34" s="1734"/>
      <c r="F34" s="1734"/>
      <c r="G34" s="1734"/>
      <c r="H34" s="1734"/>
      <c r="I34" s="1734"/>
      <c r="J34" s="1734"/>
      <c r="K34" s="1734"/>
      <c r="L34" s="1735"/>
      <c r="M34" s="1734"/>
      <c r="N34" s="1734"/>
      <c r="O34" s="1734"/>
      <c r="S34" s="2518" t="s">
        <v>464</v>
      </c>
      <c r="T34" s="2518"/>
      <c r="U34" s="1738"/>
      <c r="V34" s="2519" t="str">
        <f>IF(TITLE_DATE_PR_CHANGE="",IF(TITLE_DATE_PR="","",TITLE_DATE_PR),TITLE_DATE_PR_CHANGE)</f>
        <v>45280</v>
      </c>
      <c r="W34" s="2519"/>
      <c r="X34" s="2519"/>
      <c r="Y34" s="2519"/>
      <c r="Z34" s="2519"/>
      <c r="AA34" s="2519"/>
      <c r="AB34" s="2519"/>
      <c r="AC34" s="687"/>
      <c r="AD34" s="2519" t="str">
        <f>IF(TITLE_DATE_PR_CHANGE="",IF(TITLE_DATE_PR="","",TITLE_DATE_PR),TITLE_DATE_PR_CHANGE)</f>
        <v>45280</v>
      </c>
      <c r="AE34" s="2519"/>
      <c r="AF34" s="2519"/>
      <c r="AG34" s="2519"/>
      <c r="AH34" s="2519"/>
      <c r="AI34" s="2519"/>
      <c r="AJ34" s="2519"/>
      <c r="AK34" s="687"/>
      <c r="AL34" s="687"/>
      <c r="AM34" s="641"/>
      <c r="AN34" s="729"/>
      <c r="AO34" s="729"/>
      <c r="AP34" s="729"/>
      <c r="AQ34" s="729"/>
      <c r="AR34" s="729"/>
    </row>
    <row s="32230" customFormat="1" customHeight="1" ht="18.75" hidden="1">
      <c r="A35" s="1734"/>
      <c r="B35" s="1734"/>
      <c r="C35" s="1734"/>
      <c r="D35" s="1734"/>
      <c r="E35" s="1734"/>
      <c r="F35" s="1734"/>
      <c r="G35" s="1734"/>
      <c r="H35" s="1734"/>
      <c r="I35" s="1734"/>
      <c r="J35" s="1734"/>
      <c r="K35" s="1734"/>
      <c r="L35" s="1735"/>
      <c r="M35" s="1734"/>
      <c r="N35" s="1734"/>
      <c r="O35" s="1734"/>
      <c r="S35" s="2518" t="s">
        <v>465</v>
      </c>
      <c r="T35" s="2518"/>
      <c r="U35" s="1738"/>
      <c r="V35" s="2520" t="str">
        <f>IF(TITLE_NUMBER_PR_CHANGE="",IF(TITLE_NUMBER_PR="","",TITLE_NUMBER_PR),TITLE_NUMBER_PR_CHANGE)</f>
        <v>51/16</v>
      </c>
      <c r="W35" s="2520"/>
      <c r="X35" s="2520"/>
      <c r="Y35" s="2520"/>
      <c r="Z35" s="2520"/>
      <c r="AA35" s="2520"/>
      <c r="AB35" s="2520"/>
      <c r="AC35" s="687"/>
      <c r="AD35" s="2520" t="str">
        <f>IF(TITLE_NUMBER_PR_CHANGE="",IF(TITLE_NUMBER_PR="","",TITLE_NUMBER_PR),TITLE_NUMBER_PR_CHANGE)</f>
        <v>51/16</v>
      </c>
      <c r="AE35" s="2520"/>
      <c r="AF35" s="2520"/>
      <c r="AG35" s="2520"/>
      <c r="AH35" s="2520"/>
      <c r="AI35" s="2520"/>
      <c r="AJ35" s="2520"/>
      <c r="AK35" s="687"/>
      <c r="AL35" s="687"/>
      <c r="AM35" s="641"/>
      <c r="AN35" s="729"/>
      <c r="AO35" s="729"/>
      <c r="AP35" s="729"/>
      <c r="AQ35" s="729"/>
      <c r="AR35" s="729"/>
    </row>
    <row s="32230" customFormat="1" customHeight="1" ht="0">
      <c r="A36" s="1734"/>
      <c r="B36" s="1734"/>
      <c r="C36" s="1734"/>
      <c r="D36" s="1734"/>
      <c r="E36" s="1734"/>
      <c r="F36" s="1734"/>
      <c r="G36" s="1734"/>
      <c r="H36" s="1734"/>
      <c r="I36" s="1734"/>
      <c r="J36" s="1734"/>
      <c r="K36" s="1734"/>
      <c r="L36" s="1735"/>
      <c r="M36" s="1734"/>
      <c r="N36" s="1734"/>
      <c r="O36" s="1734"/>
      <c r="S36" s="684"/>
      <c r="T36" s="684"/>
      <c r="U36" s="1706"/>
      <c r="V36" s="687"/>
      <c r="W36" s="687"/>
      <c r="X36" s="687"/>
      <c r="Y36" s="687"/>
      <c r="Z36" s="687"/>
      <c r="AA36" s="687"/>
      <c r="AB36" s="687"/>
      <c r="AC36" s="639" t="s">
        <v>466</v>
      </c>
      <c r="AD36" s="687"/>
      <c r="AE36" s="687"/>
      <c r="AF36" s="687"/>
      <c r="AG36" s="687"/>
      <c r="AH36" s="687"/>
      <c r="AI36" s="687"/>
      <c r="AJ36" s="687"/>
      <c r="AK36" s="639" t="s">
        <v>466</v>
      </c>
      <c r="AN36" s="729"/>
      <c r="AO36" s="729"/>
      <c r="AP36" s="729"/>
      <c r="AQ36" s="729"/>
      <c r="AR36" s="729"/>
    </row>
    <row customHeight="1" ht="14.25">
      <c r="Q37" s="737"/>
      <c r="R37" s="737"/>
      <c r="S37" s="1641"/>
      <c r="T37" s="724"/>
      <c r="U37" s="1609"/>
      <c r="V37" s="2544"/>
      <c r="W37" s="2544"/>
      <c r="X37" s="2544"/>
      <c r="Y37" s="2544"/>
      <c r="Z37" s="2544"/>
      <c r="AA37" s="2544"/>
      <c r="AB37" s="2544"/>
      <c r="AC37" s="2544"/>
      <c r="AD37" s="2544"/>
      <c r="AE37" s="2544"/>
      <c r="AF37" s="2544"/>
      <c r="AG37" s="2544"/>
      <c r="AH37" s="2544"/>
      <c r="AI37" s="2544"/>
      <c r="AJ37" s="2544"/>
      <c r="AK37" s="2544"/>
    </row>
    <row customHeight="1" ht="14.25">
      <c r="Q38" s="737"/>
      <c r="R38" s="737"/>
      <c r="S38" s="2392" t="s">
        <v>341</v>
      </c>
      <c r="T38" s="2392"/>
      <c r="U38" s="2392"/>
      <c r="V38" s="2392"/>
      <c r="W38" s="2392"/>
      <c r="X38" s="2392"/>
      <c r="Y38" s="2392"/>
      <c r="Z38" s="2392"/>
      <c r="AA38" s="2392"/>
      <c r="AB38" s="2392"/>
      <c r="AC38" s="2392"/>
      <c r="AD38" s="2392"/>
      <c r="AE38" s="2392"/>
      <c r="AF38" s="2392"/>
      <c r="AG38" s="2392"/>
      <c r="AH38" s="2392"/>
      <c r="AI38" s="2392"/>
      <c r="AJ38" s="2392"/>
      <c r="AK38" s="2392"/>
      <c r="AL38" s="2392"/>
      <c r="AM38" s="2392" t="s">
        <v>342</v>
      </c>
    </row>
    <row customHeight="1" ht="14.25">
      <c r="Q39" s="737"/>
      <c r="R39" s="737"/>
      <c r="S39" s="2545" t="s">
        <v>87</v>
      </c>
      <c r="T39" s="2482" t="s">
        <v>467</v>
      </c>
      <c r="U39" s="662"/>
      <c r="V39" s="2546" t="s">
        <v>468</v>
      </c>
      <c r="W39" s="2547"/>
      <c r="X39" s="2547"/>
      <c r="Y39" s="2547"/>
      <c r="Z39" s="2547"/>
      <c r="AA39" s="2547"/>
      <c r="AB39" s="2548"/>
      <c r="AC39" s="2549" t="s">
        <v>469</v>
      </c>
      <c r="AD39" s="2546" t="s">
        <v>468</v>
      </c>
      <c r="AE39" s="2547"/>
      <c r="AF39" s="2547"/>
      <c r="AG39" s="2547"/>
      <c r="AH39" s="2547"/>
      <c r="AI39" s="2547"/>
      <c r="AJ39" s="2548"/>
      <c r="AK39" s="2549" t="s">
        <v>470</v>
      </c>
      <c r="AL39" s="2552" t="s">
        <v>471</v>
      </c>
      <c r="AM39" s="2392"/>
    </row>
    <row customHeight="1" ht="33.75">
      <c r="Q40" s="737"/>
      <c r="R40" s="737"/>
      <c r="S40" s="2545"/>
      <c r="T40" s="2482"/>
      <c r="U40" s="1393"/>
      <c r="V40" s="2555" t="s">
        <v>472</v>
      </c>
      <c r="W40" s="2536"/>
      <c r="X40" s="2538" t="s">
        <v>474</v>
      </c>
      <c r="Y40" s="2540"/>
      <c r="Z40" s="2538" t="s">
        <v>475</v>
      </c>
      <c r="AA40" s="2539"/>
      <c r="AB40" s="2540"/>
      <c r="AC40" s="2550"/>
      <c r="AD40" s="2555" t="s">
        <v>488</v>
      </c>
      <c r="AE40" s="2536"/>
      <c r="AF40" s="2538" t="s">
        <v>474</v>
      </c>
      <c r="AG40" s="2540"/>
      <c r="AH40" s="2538" t="s">
        <v>475</v>
      </c>
      <c r="AI40" s="2539"/>
      <c r="AJ40" s="2540"/>
      <c r="AK40" s="2550"/>
      <c r="AL40" s="2553"/>
      <c r="AM40" s="2392"/>
    </row>
    <row customHeight="1" ht="33.75">
      <c r="A41" s="1736"/>
      <c r="B41" s="1736" t="s">
        <v>143</v>
      </c>
      <c r="C41" s="1736" t="s">
        <v>144</v>
      </c>
      <c r="D41" s="1736" t="s">
        <v>145</v>
      </c>
      <c r="E41" s="1730" t="s">
        <v>476</v>
      </c>
      <c r="F41" s="1730" t="s">
        <v>477</v>
      </c>
      <c r="G41" s="1730" t="s">
        <v>478</v>
      </c>
      <c r="H41" s="1730" t="s">
        <v>479</v>
      </c>
      <c r="I41" s="1730" t="s">
        <v>480</v>
      </c>
      <c r="J41" s="1730" t="s">
        <v>481</v>
      </c>
      <c r="K41" s="1730" t="s">
        <v>482</v>
      </c>
      <c r="L41" s="1730" t="s">
        <v>457</v>
      </c>
      <c r="Q41" s="737"/>
      <c r="R41" s="737"/>
      <c r="S41" s="2545"/>
      <c r="T41" s="2482"/>
      <c r="U41" s="663"/>
      <c r="V41" s="2556"/>
      <c r="W41" s="2537"/>
      <c r="X41" s="1587" t="s">
        <v>483</v>
      </c>
      <c r="Y41" s="1587" t="s">
        <v>484</v>
      </c>
      <c r="Z41" s="1704" t="s">
        <v>485</v>
      </c>
      <c r="AA41" s="2541" t="s">
        <v>486</v>
      </c>
      <c r="AB41" s="2542"/>
      <c r="AC41" s="2551"/>
      <c r="AD41" s="2556"/>
      <c r="AE41" s="2537"/>
      <c r="AF41" s="1587" t="s">
        <v>483</v>
      </c>
      <c r="AG41" s="1587" t="s">
        <v>484</v>
      </c>
      <c r="AH41" s="1704" t="s">
        <v>485</v>
      </c>
      <c r="AI41" s="2541" t="s">
        <v>486</v>
      </c>
      <c r="AJ41" s="2542"/>
      <c r="AK41" s="2551"/>
      <c r="AL41" s="2554"/>
      <c r="AM41" s="2392"/>
    </row>
    <row s="32049" customFormat="1" customHeight="1" ht="11.25" hidden="1">
      <c r="A42" s="1736"/>
      <c r="B42" s="1736"/>
      <c r="C42" s="1736"/>
      <c r="D42" s="1736"/>
      <c r="E42" s="1736"/>
      <c r="F42" s="1736"/>
      <c r="G42" s="1736"/>
      <c r="H42" s="1736"/>
      <c r="I42" s="1736"/>
      <c r="J42" s="1736"/>
      <c r="K42" s="1736"/>
      <c r="L42" s="1730"/>
      <c r="M42" s="1728"/>
      <c r="N42" s="1728"/>
      <c r="O42" s="1728"/>
      <c r="P42" s="1611"/>
      <c r="Q42" s="1612"/>
      <c r="R42" s="1619">
        <v>1</v>
      </c>
      <c r="S42" s="1643" t="s">
        <v>118</v>
      </c>
      <c r="T42" s="1620" t="s">
        <v>102</v>
      </c>
      <c r="U42" s="1610" t="str">
        <f>OFFSET(U42,0,-1)</f>
        <v>2</v>
      </c>
      <c r="V42" s="1701">
        <f>OFFSET(V42,0,-1)+1</f>
        <v>3</v>
      </c>
      <c r="W42" s="1701"/>
      <c r="X42" s="1701">
        <f>OFFSET(X42,0,-1)+1</f>
        <v>1</v>
      </c>
      <c r="Y42" s="1701">
        <f>OFFSET(Y42,0,-1)+1</f>
        <v>2</v>
      </c>
      <c r="Z42" s="1701">
        <f>OFFSET(Z42,0,-1)+1</f>
        <v>3</v>
      </c>
      <c r="AA42" s="2543">
        <f>OFFSET(AA42,0,-1)+1</f>
        <v>4</v>
      </c>
      <c r="AB42" s="2543"/>
      <c r="AC42" s="1701">
        <f>OFFSET(AC42,0,-2)+1</f>
        <v>5</v>
      </c>
      <c r="AD42" s="1701">
        <f>OFFSET(AD42,0,-1)+1</f>
        <v>6</v>
      </c>
      <c r="AE42" s="1701"/>
      <c r="AF42" s="1701">
        <f>OFFSET(AF42,0,-1)+1</f>
        <v>1</v>
      </c>
      <c r="AG42" s="1701">
        <f>OFFSET(AG42,0,-1)+1</f>
        <v>2</v>
      </c>
      <c r="AH42" s="1701">
        <f>OFFSET(AH42,0,-1)+1</f>
        <v>3</v>
      </c>
      <c r="AI42" s="2543">
        <f>OFFSET(AI42,0,-1)+1</f>
        <v>4</v>
      </c>
      <c r="AJ42" s="2543"/>
      <c r="AK42" s="1701">
        <f>OFFSET(AK42,0,-2)+1</f>
        <v>5</v>
      </c>
      <c r="AL42" s="1610">
        <f>OFFSET(AL42,0,-1)</f>
        <v>5</v>
      </c>
      <c r="AM42" s="1701">
        <f>OFFSET(AM42,0,-1)+1</f>
        <v>6</v>
      </c>
      <c r="AN42" s="872"/>
      <c r="AO42" s="872"/>
      <c r="AP42" s="872"/>
      <c r="AQ42" s="872"/>
      <c r="AR42" s="872"/>
    </row>
    <row customHeight="1" ht="21">
      <c r="A43" s="1729" t="s">
        <v>186</v>
      </c>
      <c r="B43" s="1729"/>
      <c r="C43" s="1729"/>
      <c r="D43" s="1729"/>
      <c r="E43" s="2527">
        <v>1</v>
      </c>
      <c r="F43" s="1729"/>
      <c r="G43" s="1729"/>
      <c r="H43" s="1729"/>
      <c r="I43" s="1729"/>
      <c r="J43" s="1729"/>
      <c r="K43" s="1729"/>
      <c r="L43" s="1730"/>
      <c r="M43" s="1731"/>
      <c r="N43" s="1731"/>
      <c r="O43" s="1731"/>
      <c r="P43" s="722"/>
      <c r="Q43" s="721"/>
      <c r="R43" s="716"/>
      <c r="S43" s="1702">
        <f>INDEX(PT_DIFFERENTIATION_NUM_NTAR,MATCH(A43,PT_DIFFERENTIATION_NTAR_ID,0))</f>
        <v>0</v>
      </c>
      <c r="T43" s="659" t="s">
        <v>131</v>
      </c>
      <c r="U43" s="661"/>
      <c r="V43" s="2521"/>
      <c r="W43" s="2522"/>
      <c r="X43" s="2522"/>
      <c r="Y43" s="2522"/>
      <c r="Z43" s="2522"/>
      <c r="AA43" s="2522"/>
      <c r="AB43" s="2522"/>
      <c r="AC43" s="2523"/>
      <c r="AD43" s="2521" t="str">
        <f>INDEX(PT_DIFFERENTIATION_NTAR,MATCH(A43,PT_DIFFERENTIATION_NTAR_ID,0))</f>
        <v/>
      </c>
      <c r="AE43" s="2522"/>
      <c r="AF43" s="2522"/>
      <c r="AG43" s="2522"/>
      <c r="AH43" s="2522"/>
      <c r="AI43" s="2522"/>
      <c r="AJ43" s="2522"/>
      <c r="AK43" s="2522"/>
      <c r="AL43" s="2523"/>
      <c r="AM43" s="16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861"/>
      <c r="AP43" s="861" t="str">
        <f>IF(T43="","",T43)</f>
        <v>Наименование тарифа</v>
      </c>
      <c r="AQ43" s="861"/>
      <c r="AR43" s="861"/>
    </row>
    <row customHeight="1" ht="21">
      <c r="A44" s="1729" t="s">
        <v>186</v>
      </c>
      <c r="B44" s="1729" t="s">
        <v>187</v>
      </c>
      <c r="C44" s="1729"/>
      <c r="D44" s="1729"/>
      <c r="E44" s="2528"/>
      <c r="F44" s="2527">
        <v>1</v>
      </c>
      <c r="G44" s="1729"/>
      <c r="H44" s="1729"/>
      <c r="I44" s="1729"/>
      <c r="J44" s="1729"/>
      <c r="K44" s="1729"/>
      <c r="L44" s="1730"/>
      <c r="M44" s="1731"/>
      <c r="N44" s="1731"/>
      <c r="O44" s="1731"/>
      <c r="P44" s="1698"/>
      <c r="Q44" s="713"/>
      <c r="R44" s="714"/>
      <c r="S44" s="1702" t="str">
        <f>INDEX(PT_DIFFERENTIATION_NUM_TER,MATCH(B44,PT_DIFFERENTIATION_TER_ID,0))</f>
        <v>.</v>
      </c>
      <c r="T44" s="669" t="s">
        <v>438</v>
      </c>
      <c r="U44" s="661"/>
      <c r="V44" s="2521"/>
      <c r="W44" s="2522"/>
      <c r="X44" s="2522"/>
      <c r="Y44" s="2522"/>
      <c r="Z44" s="2522"/>
      <c r="AA44" s="2522"/>
      <c r="AB44" s="2522"/>
      <c r="AC44" s="2523"/>
      <c r="AD44" s="2521" t="str">
        <f>INDEX(PT_DIFFERENTIATION_TER,MATCH(B44,PT_DIFFERENTIATION_TER_ID,0))</f>
        <v/>
      </c>
      <c r="AE44" s="2522"/>
      <c r="AF44" s="2522"/>
      <c r="AG44" s="2522"/>
      <c r="AH44" s="2522"/>
      <c r="AI44" s="2522"/>
      <c r="AJ44" s="2522"/>
      <c r="AK44" s="2522"/>
      <c r="AL44" s="2523"/>
      <c r="AM44" s="1623" t="s">
        <v>439</v>
      </c>
      <c r="AO44" s="861"/>
      <c r="AP44" s="861" t="str">
        <f>IF(T44="","",T44)</f>
        <v>Территория действия тарифа</v>
      </c>
      <c r="AQ44" s="861"/>
      <c r="AR44" s="861"/>
    </row>
    <row customHeight="1" ht="23.25">
      <c r="A45" s="1729" t="s">
        <v>186</v>
      </c>
      <c r="B45" s="1729" t="s">
        <v>187</v>
      </c>
      <c r="C45" s="1729" t="s">
        <v>188</v>
      </c>
      <c r="D45" s="1729"/>
      <c r="E45" s="2528"/>
      <c r="F45" s="2528"/>
      <c r="G45" s="2527">
        <v>1</v>
      </c>
      <c r="H45" s="1729"/>
      <c r="I45" s="1729"/>
      <c r="J45" s="1729"/>
      <c r="K45" s="1729"/>
      <c r="L45" s="1730"/>
      <c r="M45" s="1731"/>
      <c r="N45" s="1731"/>
      <c r="O45" s="1731"/>
      <c r="P45" s="715"/>
      <c r="Q45" s="713"/>
      <c r="R45" s="714"/>
      <c r="S45" s="1702" t="str">
        <f>INDEX(PT_DIFFERENTIATION_NUM_CS,MATCH(C45,PT_DIFFERENTIATION_CS_ID,0))</f>
        <v>..</v>
      </c>
      <c r="T45" s="670" t="s">
        <v>440</v>
      </c>
      <c r="U45" s="661"/>
      <c r="V45" s="2521"/>
      <c r="W45" s="2522"/>
      <c r="X45" s="2522"/>
      <c r="Y45" s="2522"/>
      <c r="Z45" s="2522"/>
      <c r="AA45" s="2522"/>
      <c r="AB45" s="2522"/>
      <c r="AC45" s="2523"/>
      <c r="AD45" s="2521" t="str">
        <f>INDEX(PT_DIFFERENTIATION_CS,MATCH(C45,PT_DIFFERENTIATION_CS_ID,0))</f>
        <v/>
      </c>
      <c r="AE45" s="2522"/>
      <c r="AF45" s="2522"/>
      <c r="AG45" s="2522"/>
      <c r="AH45" s="2522"/>
      <c r="AI45" s="2522"/>
      <c r="AJ45" s="2522"/>
      <c r="AK45" s="2522"/>
      <c r="AL45" s="2523"/>
      <c r="AM45" s="1623" t="s">
        <v>441</v>
      </c>
      <c r="AO45" s="861"/>
      <c r="AP45" s="861" t="str">
        <f>IF(T45="","",T45)</f>
        <v>Наименование системы теплоснабжения </v>
      </c>
      <c r="AQ45" s="861"/>
      <c r="AR45" s="861"/>
    </row>
    <row customHeight="1" ht="21">
      <c r="A46" s="1729" t="s">
        <v>186</v>
      </c>
      <c r="B46" s="1729" t="s">
        <v>187</v>
      </c>
      <c r="C46" s="1729" t="s">
        <v>188</v>
      </c>
      <c r="D46" s="1729" t="s">
        <v>189</v>
      </c>
      <c r="E46" s="2528"/>
      <c r="F46" s="2528"/>
      <c r="G46" s="2528"/>
      <c r="H46" s="2527">
        <v>1</v>
      </c>
      <c r="I46" s="1729"/>
      <c r="J46" s="1729"/>
      <c r="K46" s="1729"/>
      <c r="L46" s="1730"/>
      <c r="M46" s="1731"/>
      <c r="N46" s="1731"/>
      <c r="O46" s="1731"/>
      <c r="P46" s="715"/>
      <c r="Q46" s="713"/>
      <c r="R46" s="714"/>
      <c r="S46" s="1702" t="str">
        <f>INDEX(PT_DIFFERENTIATION_NUM_IST_TE,MATCH(D46,PT_DIFFERENTIATION_IST_TE_ID,0))</f>
        <v>...</v>
      </c>
      <c r="T46" s="671" t="s">
        <v>442</v>
      </c>
      <c r="U46" s="661"/>
      <c r="V46" s="2521"/>
      <c r="W46" s="2522"/>
      <c r="X46" s="2522"/>
      <c r="Y46" s="2522"/>
      <c r="Z46" s="2522"/>
      <c r="AA46" s="2522"/>
      <c r="AB46" s="2522"/>
      <c r="AC46" s="2523"/>
      <c r="AD46" s="2521" t="str">
        <f>INDEX(PT_DIFFERENTIATION_IST_TE,MATCH(D46,PT_DIFFERENTIATION_IST_TE_ID,0))</f>
        <v/>
      </c>
      <c r="AE46" s="2522"/>
      <c r="AF46" s="2522"/>
      <c r="AG46" s="2522"/>
      <c r="AH46" s="2522"/>
      <c r="AI46" s="2522"/>
      <c r="AJ46" s="2522"/>
      <c r="AK46" s="2522"/>
      <c r="AL46" s="2523"/>
      <c r="AM46" s="1623" t="s">
        <v>443</v>
      </c>
      <c r="AO46" s="861"/>
      <c r="AP46" s="861" t="str">
        <f>IF(T46="","",T46)</f>
        <v>Источник тепловой энергии  </v>
      </c>
      <c r="AQ46" s="861"/>
      <c r="AR46" s="861"/>
    </row>
    <row s="32289" customFormat="1" customHeight="1" ht="0">
      <c r="A47" s="1709" t="s">
        <v>186</v>
      </c>
      <c r="B47" s="1709" t="s">
        <v>187</v>
      </c>
      <c r="C47" s="1709" t="s">
        <v>188</v>
      </c>
      <c r="D47" s="1709" t="s">
        <v>189</v>
      </c>
      <c r="E47" s="2528"/>
      <c r="F47" s="2528"/>
      <c r="G47" s="2528"/>
      <c r="H47" s="2528"/>
      <c r="I47" s="2529" t="str">
        <f>S46&amp;".1"</f>
        <v>....1</v>
      </c>
      <c r="J47" s="1709"/>
      <c r="K47" s="1709"/>
      <c r="L47" s="1712" t="s">
        <v>444</v>
      </c>
      <c r="M47" s="871"/>
      <c r="N47" s="871"/>
      <c r="O47" s="871"/>
      <c r="P47" s="2531">
        <v>1</v>
      </c>
      <c r="Q47" s="1697"/>
      <c r="R47" s="717"/>
      <c r="S47" s="1404"/>
      <c r="T47" s="1749"/>
      <c r="U47" s="1750"/>
      <c r="V47" s="2569"/>
      <c r="W47" s="2570"/>
      <c r="X47" s="2570"/>
      <c r="Y47" s="2570"/>
      <c r="Z47" s="2570"/>
      <c r="AA47" s="2570"/>
      <c r="AB47" s="2570"/>
      <c r="AC47" s="2571"/>
      <c r="AD47" s="2569"/>
      <c r="AE47" s="2570"/>
      <c r="AF47" s="2570"/>
      <c r="AG47" s="2570"/>
      <c r="AH47" s="2570"/>
      <c r="AI47" s="2570"/>
      <c r="AJ47" s="2570"/>
      <c r="AK47" s="2570"/>
      <c r="AL47" s="2571"/>
      <c r="AM47" s="1751"/>
      <c r="AO47" s="861"/>
      <c r="AP47" s="861" t="str">
        <f>IF(T47="","",T47)</f>
        <v/>
      </c>
      <c r="AQ47" s="861"/>
      <c r="AR47" s="861"/>
    </row>
    <row customHeight="1" ht="21">
      <c r="A48" s="1729" t="s">
        <v>186</v>
      </c>
      <c r="B48" s="1729" t="s">
        <v>187</v>
      </c>
      <c r="C48" s="1729" t="s">
        <v>188</v>
      </c>
      <c r="D48" s="1729" t="s">
        <v>189</v>
      </c>
      <c r="E48" s="2528"/>
      <c r="F48" s="2528"/>
      <c r="G48" s="2528"/>
      <c r="H48" s="2528"/>
      <c r="I48" s="2530"/>
      <c r="J48" s="2529" t="str">
        <f>S46&amp;".1"</f>
        <v>....1</v>
      </c>
      <c r="K48" s="1729"/>
      <c r="L48" s="1730" t="s">
        <v>447</v>
      </c>
      <c r="P48" s="2531"/>
      <c r="Q48" s="2531">
        <v>1</v>
      </c>
      <c r="R48" s="718"/>
      <c r="S48" s="1702" t="str">
        <f>$J48</f>
        <v>....1</v>
      </c>
      <c r="T48" s="647" t="s">
        <v>448</v>
      </c>
      <c r="U48" s="661"/>
      <c r="V48" s="2515"/>
      <c r="W48" s="2516"/>
      <c r="X48" s="2516"/>
      <c r="Y48" s="2516"/>
      <c r="Z48" s="2516"/>
      <c r="AA48" s="2516"/>
      <c r="AB48" s="2516"/>
      <c r="AC48" s="2517"/>
      <c r="AD48" s="2515"/>
      <c r="AE48" s="2516"/>
      <c r="AF48" s="2516"/>
      <c r="AG48" s="2516"/>
      <c r="AH48" s="2516"/>
      <c r="AI48" s="2516"/>
      <c r="AJ48" s="2516"/>
      <c r="AK48" s="2516"/>
      <c r="AL48" s="2517"/>
      <c r="AM48" s="1623" t="s">
        <v>449</v>
      </c>
      <c r="AO48" s="861"/>
      <c r="AP48" s="861" t="str">
        <f>IF(T48="","",T48)</f>
        <v>Группа потребителей</v>
      </c>
      <c r="AQ48" s="861"/>
      <c r="AR48" s="861"/>
    </row>
    <row customHeight="1" ht="21">
      <c r="A49" s="1729" t="s">
        <v>186</v>
      </c>
      <c r="B49" s="1729" t="s">
        <v>187</v>
      </c>
      <c r="C49" s="1729" t="s">
        <v>188</v>
      </c>
      <c r="D49" s="1729" t="s">
        <v>189</v>
      </c>
      <c r="E49" s="2528"/>
      <c r="F49" s="2528"/>
      <c r="G49" s="2528"/>
      <c r="H49" s="2528"/>
      <c r="I49" s="2530"/>
      <c r="J49" s="2530"/>
      <c r="K49" s="2529" t="str">
        <f>J48&amp;".1"</f>
        <v>....1.1</v>
      </c>
      <c r="L49" s="1730" t="s">
        <v>450</v>
      </c>
      <c r="P49" s="2531"/>
      <c r="Q49" s="2531"/>
      <c r="R49" s="718">
        <v>1</v>
      </c>
      <c r="S49" s="1702" t="str">
        <f>$K49</f>
        <v>....1.1</v>
      </c>
      <c r="T49" s="1713"/>
      <c r="U49" s="661"/>
      <c r="V49" s="1112"/>
      <c r="W49" s="686"/>
      <c r="X49" s="1112"/>
      <c r="Y49" s="1622"/>
      <c r="Z49" s="2532"/>
      <c r="AA49" s="2402" t="s">
        <v>66</v>
      </c>
      <c r="AB49" s="2532"/>
      <c r="AC49" s="2402" t="s">
        <v>66</v>
      </c>
      <c r="AD49" s="1112"/>
      <c r="AE49" s="686"/>
      <c r="AF49" s="1112"/>
      <c r="AG49" s="1622"/>
      <c r="AH49" s="2532"/>
      <c r="AI49" s="2402" t="s">
        <v>66</v>
      </c>
      <c r="AJ49" s="2534"/>
      <c r="AK49" s="2402" t="s">
        <v>66</v>
      </c>
      <c r="AL49" s="1714"/>
      <c r="AM49" s="2557" t="s">
        <v>489</v>
      </c>
      <c r="AN49" s="872">
        <f>STRCHECKDATE(V50:AL50)</f>
      </c>
      <c r="AO49" s="861"/>
      <c r="AP49" s="861" t="str">
        <f>IF(T49="","",T49)</f>
        <v/>
      </c>
      <c r="AQ49" s="861"/>
      <c r="AR49" s="861"/>
    </row>
    <row customHeight="1" ht="0.75">
      <c r="A50" s="1729" t="s">
        <v>186</v>
      </c>
      <c r="B50" s="1729" t="s">
        <v>187</v>
      </c>
      <c r="C50" s="1729" t="s">
        <v>188</v>
      </c>
      <c r="D50" s="1729" t="s">
        <v>189</v>
      </c>
      <c r="E50" s="2528"/>
      <c r="F50" s="2528"/>
      <c r="G50" s="2528"/>
      <c r="H50" s="2528"/>
      <c r="I50" s="2530"/>
      <c r="J50" s="2530"/>
      <c r="K50" s="2529"/>
      <c r="L50" s="1730"/>
      <c r="P50" s="2531"/>
      <c r="Q50" s="2531"/>
      <c r="R50" s="718"/>
      <c r="S50" s="1708"/>
      <c r="T50" s="661"/>
      <c r="U50" s="661"/>
      <c r="V50" s="686"/>
      <c r="W50" s="686"/>
      <c r="X50" s="686"/>
      <c r="Y50" s="689" t="str">
        <f>Z49&amp;"-"&amp;AB49</f>
        <v>-</v>
      </c>
      <c r="Z50" s="2533"/>
      <c r="AA50" s="2402"/>
      <c r="AB50" s="2533"/>
      <c r="AC50" s="2402"/>
      <c r="AD50" s="686"/>
      <c r="AE50" s="686"/>
      <c r="AF50" s="686"/>
      <c r="AG50" s="689" t="str">
        <f>AH49&amp;"-"&amp;AJ49</f>
        <v>-</v>
      </c>
      <c r="AH50" s="2533"/>
      <c r="AI50" s="2402"/>
      <c r="AJ50" s="2535"/>
      <c r="AK50" s="2402"/>
      <c r="AL50" s="1715"/>
      <c r="AM50" s="2558"/>
      <c r="AO50" s="861"/>
      <c r="AP50" s="861" t="str">
        <f>IF(T50="","",T50)</f>
        <v/>
      </c>
      <c r="AQ50" s="861"/>
      <c r="AR50" s="861"/>
    </row>
    <row customHeight="1" ht="11.25">
      <c r="A51" s="1729" t="s">
        <v>186</v>
      </c>
      <c r="B51" s="1729" t="s">
        <v>187</v>
      </c>
      <c r="C51" s="1729" t="s">
        <v>188</v>
      </c>
      <c r="D51" s="1729" t="s">
        <v>189</v>
      </c>
      <c r="E51" s="2528"/>
      <c r="F51" s="2528"/>
      <c r="G51" s="2528"/>
      <c r="H51" s="2528"/>
      <c r="I51" s="2530"/>
      <c r="J51" s="2529"/>
      <c r="K51" s="1729"/>
      <c r="L51" s="1730"/>
      <c r="P51" s="2531"/>
      <c r="Q51" s="2531"/>
      <c r="R51" s="717"/>
      <c r="S51" s="1644"/>
      <c r="T51" s="648" t="s">
        <v>452</v>
      </c>
      <c r="U51" s="728"/>
      <c r="V51" s="728"/>
      <c r="W51" s="728"/>
      <c r="X51" s="728"/>
      <c r="Y51" s="728"/>
      <c r="Z51" s="728"/>
      <c r="AA51" s="728"/>
      <c r="AB51" s="728"/>
      <c r="AC51" s="728"/>
      <c r="AD51" s="728"/>
      <c r="AE51" s="728"/>
      <c r="AF51" s="728"/>
      <c r="AG51" s="728"/>
      <c r="AH51" s="728"/>
      <c r="AI51" s="728"/>
      <c r="AJ51" s="728"/>
      <c r="AK51" s="728"/>
      <c r="AL51" s="685"/>
      <c r="AM51" s="2559"/>
      <c r="AO51" s="861"/>
      <c r="AP51" s="861" t="str">
        <f>IF(T51="","",T51)</f>
        <v>Добавить вид теплоносителя (параметры теплоносителя)</v>
      </c>
      <c r="AQ51" s="861"/>
      <c r="AR51" s="861"/>
    </row>
    <row customHeight="1" ht="11.25">
      <c r="A52" s="1729" t="s">
        <v>186</v>
      </c>
      <c r="B52" s="1729" t="s">
        <v>187</v>
      </c>
      <c r="C52" s="1729" t="s">
        <v>188</v>
      </c>
      <c r="D52" s="1729" t="s">
        <v>189</v>
      </c>
      <c r="E52" s="2528"/>
      <c r="F52" s="2528"/>
      <c r="G52" s="2528"/>
      <c r="H52" s="2528"/>
      <c r="I52" s="2529"/>
      <c r="J52" s="1729"/>
      <c r="K52" s="1729"/>
      <c r="L52" s="1730"/>
      <c r="P52" s="2531"/>
      <c r="Q52" s="1697"/>
      <c r="R52" s="717"/>
      <c r="S52" s="1644"/>
      <c r="T52" s="726" t="s">
        <v>453</v>
      </c>
      <c r="U52" s="728"/>
      <c r="V52" s="728"/>
      <c r="W52" s="728"/>
      <c r="X52" s="728"/>
      <c r="Y52" s="728"/>
      <c r="Z52" s="728"/>
      <c r="AA52" s="728"/>
      <c r="AB52" s="728"/>
      <c r="AC52" s="727"/>
      <c r="AD52" s="728"/>
      <c r="AE52" s="728"/>
      <c r="AF52" s="728"/>
      <c r="AG52" s="728"/>
      <c r="AH52" s="728"/>
      <c r="AI52" s="728"/>
      <c r="AJ52" s="728"/>
      <c r="AK52" s="727"/>
      <c r="AL52" s="728"/>
      <c r="AM52" s="664"/>
      <c r="AO52" s="861"/>
      <c r="AP52" s="861" t="str">
        <f>IF(T52="","",T52)</f>
        <v>Добавить группу потребителей</v>
      </c>
      <c r="AQ52" s="861"/>
      <c r="AR52" s="861"/>
    </row>
    <row customHeight="1" ht="0">
      <c r="A53" s="1729" t="s">
        <v>186</v>
      </c>
      <c r="B53" s="1729" t="s">
        <v>187</v>
      </c>
      <c r="C53" s="1729" t="s">
        <v>188</v>
      </c>
      <c r="D53" s="1729" t="s">
        <v>189</v>
      </c>
      <c r="E53" s="2528"/>
      <c r="F53" s="2528"/>
      <c r="G53" s="2528"/>
      <c r="H53" s="2527"/>
      <c r="I53" s="1729"/>
      <c r="J53" s="1729"/>
      <c r="K53" s="1729"/>
      <c r="L53" s="1730"/>
      <c r="M53" s="1731"/>
      <c r="N53" s="1731"/>
      <c r="O53" s="898"/>
      <c r="P53" s="721"/>
      <c r="Q53" s="736"/>
      <c r="R53" s="716"/>
      <c r="S53" s="1752"/>
      <c r="T53" s="1753"/>
      <c r="U53" s="1754"/>
      <c r="V53" s="1754"/>
      <c r="W53" s="1754"/>
      <c r="X53" s="1754"/>
      <c r="Y53" s="1754"/>
      <c r="Z53" s="1754"/>
      <c r="AA53" s="1754"/>
      <c r="AB53" s="1754"/>
      <c r="AC53" s="1754"/>
      <c r="AD53" s="1754"/>
      <c r="AE53" s="1754"/>
      <c r="AF53" s="1754"/>
      <c r="AG53" s="1754"/>
      <c r="AH53" s="1754"/>
      <c r="AI53" s="1754"/>
      <c r="AJ53" s="1754"/>
      <c r="AK53" s="1754"/>
      <c r="AL53" s="1754"/>
      <c r="AM53" s="1755"/>
      <c r="AO53" s="861"/>
      <c r="AP53" s="861" t="str">
        <f>IF(T53="","",T53)</f>
        <v/>
      </c>
      <c r="AQ53" s="861"/>
      <c r="AR53" s="861"/>
    </row>
    <row s="32198" customFormat="1" customHeight="1" ht="0.75">
      <c r="A54" s="1709" t="s">
        <v>186</v>
      </c>
      <c r="B54" s="1709" t="s">
        <v>187</v>
      </c>
      <c r="C54" s="1709" t="s">
        <v>188</v>
      </c>
      <c r="D54" s="1680"/>
      <c r="E54" s="2528"/>
      <c r="F54" s="2528"/>
      <c r="G54" s="2527"/>
      <c r="H54" s="1680"/>
      <c r="I54" s="1680"/>
      <c r="J54" s="1680"/>
      <c r="K54" s="1680"/>
      <c r="L54" s="1705"/>
      <c r="M54" s="1681"/>
      <c r="N54" s="1681"/>
      <c r="P54" s="1682"/>
      <c r="Q54" s="1683"/>
      <c r="R54" s="1682"/>
      <c r="S54" s="1688"/>
      <c r="T54" s="1691" t="s">
        <v>455</v>
      </c>
      <c r="U54" s="1690"/>
      <c r="V54" s="1690"/>
      <c r="W54" s="1690"/>
      <c r="X54" s="1690"/>
      <c r="Y54" s="1690"/>
      <c r="Z54" s="1690"/>
      <c r="AA54" s="1690"/>
      <c r="AB54" s="1690"/>
      <c r="AC54" s="1690"/>
      <c r="AD54" s="1690"/>
      <c r="AE54" s="1690"/>
      <c r="AF54" s="1690"/>
      <c r="AG54" s="1690"/>
      <c r="AH54" s="1690"/>
      <c r="AI54" s="1690"/>
      <c r="AJ54" s="1690"/>
      <c r="AK54" s="1690"/>
      <c r="AL54" s="1690"/>
      <c r="AM54" s="1690"/>
      <c r="AO54" s="1150"/>
      <c r="AP54" s="1150" t="str">
        <f>IF(T54="","",T54)</f>
        <v>Добавить источник для дифференциации</v>
      </c>
      <c r="AQ54" s="1150"/>
      <c r="AR54" s="1150"/>
    </row>
    <row s="32198" customFormat="1" customHeight="1" ht="0.75">
      <c r="A55" s="1709" t="s">
        <v>186</v>
      </c>
      <c r="B55" s="1709" t="s">
        <v>187</v>
      </c>
      <c r="C55" s="1680"/>
      <c r="D55" s="1680"/>
      <c r="E55" s="2528"/>
      <c r="F55" s="2527"/>
      <c r="G55" s="1680"/>
      <c r="H55" s="1680"/>
      <c r="I55" s="1680"/>
      <c r="J55" s="1680"/>
      <c r="K55" s="1680"/>
      <c r="L55" s="1705"/>
      <c r="M55" s="1687"/>
      <c r="N55" s="1687"/>
      <c r="P55" s="1682"/>
      <c r="Q55" s="1683"/>
      <c r="R55" s="1682"/>
      <c r="S55" s="1688"/>
      <c r="T55" s="1691" t="s">
        <v>262</v>
      </c>
      <c r="U55" s="1690"/>
      <c r="V55" s="1690"/>
      <c r="W55" s="1690"/>
      <c r="X55" s="1690"/>
      <c r="Y55" s="1690"/>
      <c r="Z55" s="1690"/>
      <c r="AA55" s="1690"/>
      <c r="AB55" s="1690"/>
      <c r="AC55" s="1690"/>
      <c r="AD55" s="1690"/>
      <c r="AE55" s="1690"/>
      <c r="AF55" s="1690"/>
      <c r="AG55" s="1690"/>
      <c r="AH55" s="1690"/>
      <c r="AI55" s="1690"/>
      <c r="AJ55" s="1690"/>
      <c r="AK55" s="1690"/>
      <c r="AL55" s="1690"/>
      <c r="AM55" s="1690"/>
      <c r="AO55" s="1150"/>
      <c r="AP55" s="1150" t="str">
        <f>IF(T55="","",T55)</f>
        <v>Добавить централизованную систему для дифференциации</v>
      </c>
      <c r="AQ55" s="1150"/>
      <c r="AR55" s="1150"/>
    </row>
    <row s="32289" customFormat="1" customHeight="1" ht="0.75">
      <c r="A56" s="1709" t="s">
        <v>186</v>
      </c>
      <c r="B56" s="1709"/>
      <c r="C56" s="1709"/>
      <c r="D56" s="1709"/>
      <c r="E56" s="2527"/>
      <c r="F56" s="1709"/>
      <c r="G56" s="1709"/>
      <c r="H56" s="1709"/>
      <c r="I56" s="1709"/>
      <c r="J56" s="1709"/>
      <c r="K56" s="1709"/>
      <c r="L56" s="1712"/>
      <c r="M56" s="1687"/>
      <c r="N56" s="1687"/>
      <c r="O56" s="879"/>
      <c r="P56" s="741"/>
      <c r="Q56" s="1710"/>
      <c r="R56" s="741"/>
      <c r="S56" s="1688"/>
      <c r="T56" s="1691" t="s">
        <v>270</v>
      </c>
      <c r="U56" s="1690"/>
      <c r="V56" s="1690"/>
      <c r="W56" s="1690"/>
      <c r="X56" s="1690"/>
      <c r="Y56" s="1690"/>
      <c r="Z56" s="1690"/>
      <c r="AA56" s="1690"/>
      <c r="AB56" s="1690"/>
      <c r="AC56" s="1690"/>
      <c r="AD56" s="1690"/>
      <c r="AE56" s="1690"/>
      <c r="AF56" s="1690"/>
      <c r="AG56" s="1690"/>
      <c r="AH56" s="1690"/>
      <c r="AI56" s="1690"/>
      <c r="AJ56" s="1690"/>
      <c r="AK56" s="1690"/>
      <c r="AL56" s="1690"/>
      <c r="AM56" s="1690"/>
      <c r="AO56" s="861"/>
      <c r="AP56" s="861" t="str">
        <f>IF(T56="","",T56)</f>
        <v>Добавить территорию для дифференциации</v>
      </c>
      <c r="AQ56" s="861"/>
      <c r="AR56" s="861"/>
    </row>
    <row s="32198" customFormat="1" customHeight="1" ht="0.75">
      <c r="A57" s="1680"/>
      <c r="B57" s="1680"/>
      <c r="C57" s="1680"/>
      <c r="D57" s="1680"/>
      <c r="E57" s="1709"/>
      <c r="F57" s="1680"/>
      <c r="G57" s="1680"/>
      <c r="H57" s="1680"/>
      <c r="I57" s="1680"/>
      <c r="J57" s="1680"/>
      <c r="K57" s="1680"/>
      <c r="L57" s="1705"/>
      <c r="M57" s="1687"/>
      <c r="N57" s="1687"/>
      <c r="P57" s="1682"/>
      <c r="Q57" s="1683"/>
      <c r="R57" s="1682"/>
      <c r="S57" s="1688"/>
      <c r="T57" s="1691" t="s">
        <v>294</v>
      </c>
      <c r="U57" s="1690"/>
      <c r="V57" s="1690"/>
      <c r="W57" s="1690"/>
      <c r="X57" s="1690"/>
      <c r="Y57" s="1690"/>
      <c r="Z57" s="1690"/>
      <c r="AA57" s="1690"/>
      <c r="AB57" s="1690"/>
      <c r="AC57" s="1690"/>
      <c r="AD57" s="1690"/>
      <c r="AE57" s="1690"/>
      <c r="AF57" s="1690"/>
      <c r="AG57" s="1690"/>
      <c r="AH57" s="1690"/>
      <c r="AI57" s="1690"/>
      <c r="AJ57" s="1690"/>
      <c r="AK57" s="1690"/>
      <c r="AL57" s="1690"/>
      <c r="AM57" s="1690"/>
      <c r="AO57" s="1150"/>
      <c r="AP57" s="1150" t="str">
        <f>IF(T57="","",T57)</f>
        <v>Добавить наименование тарифа</v>
      </c>
      <c r="AQ57" s="1150"/>
      <c r="AR57" s="1150"/>
    </row>
    <row customHeight="1" ht="11.25">
      <c r="M58" s="1523"/>
      <c r="N58" s="1523"/>
      <c r="O58" s="898"/>
      <c r="P58" s="1518"/>
      <c r="Q58" s="1518"/>
      <c r="R58" s="1518"/>
      <c r="S58" s="1518"/>
      <c r="AN58" s="1518"/>
      <c r="AO58" s="1518"/>
      <c r="AP58" s="1518"/>
      <c r="AQ58" s="1518"/>
      <c r="AR58" s="1518"/>
    </row>
    <row customHeight="1" ht="21.75">
      <c r="O59" s="898"/>
      <c r="S59" s="1618"/>
      <c r="T59" s="2526"/>
      <c r="U59" s="2526"/>
      <c r="V59" s="2526"/>
      <c r="W59" s="2526"/>
      <c r="X59" s="2526"/>
      <c r="Y59" s="2526"/>
      <c r="Z59" s="2526"/>
      <c r="AA59" s="2526"/>
      <c r="AB59" s="2526"/>
      <c r="AC59" s="2526"/>
      <c r="AD59" s="2526"/>
      <c r="AE59" s="2526"/>
      <c r="AF59" s="2526"/>
      <c r="AG59" s="2526"/>
      <c r="AH59" s="2526"/>
      <c r="AI59" s="2526"/>
      <c r="AJ59" s="2526"/>
      <c r="AK59" s="2526"/>
      <c r="AL59" s="2526"/>
      <c r="AM59" s="2526"/>
    </row>
    <row customHeight="1" ht="29.25">
      <c r="O60" s="898"/>
      <c r="T60" s="2526"/>
      <c r="U60" s="2526"/>
      <c r="V60" s="2526"/>
      <c r="W60" s="2526"/>
      <c r="X60" s="2526"/>
      <c r="Y60" s="2526"/>
      <c r="Z60" s="2526"/>
      <c r="AA60" s="2526"/>
      <c r="AB60" s="2526"/>
      <c r="AC60" s="2526"/>
      <c r="AD60" s="2526"/>
      <c r="AE60" s="2526"/>
      <c r="AF60" s="2526"/>
      <c r="AG60" s="2526"/>
      <c r="AH60" s="2526"/>
      <c r="AI60" s="2526"/>
      <c r="AJ60" s="2526"/>
      <c r="AK60" s="2526"/>
      <c r="AL60" s="2526"/>
      <c r="AM60" s="2526"/>
    </row>
    <row customHeight="1" ht="39.75">
      <c r="O61" s="898"/>
      <c r="T61" s="2526"/>
      <c r="U61" s="2526"/>
      <c r="V61" s="2526"/>
      <c r="W61" s="2526"/>
      <c r="X61" s="2526"/>
      <c r="Y61" s="2526"/>
      <c r="Z61" s="2526"/>
      <c r="AA61" s="2526"/>
      <c r="AB61" s="2526"/>
      <c r="AC61" s="2526"/>
      <c r="AD61" s="2526"/>
      <c r="AE61" s="2526"/>
      <c r="AF61" s="2526"/>
      <c r="AG61" s="2526"/>
      <c r="AH61" s="2526"/>
      <c r="AI61" s="2526"/>
      <c r="AJ61" s="2526"/>
      <c r="AK61" s="2526"/>
      <c r="AL61" s="2526"/>
      <c r="AM61" s="2526"/>
    </row>
    <row customHeight="1" ht="14.25">
      <c r="O62" s="898"/>
    </row>
    <row customHeight="1" ht="19.5">
      <c r="O63" s="898"/>
      <c r="S63" s="1618"/>
      <c r="T63" s="2572"/>
      <c r="U63" s="2526"/>
      <c r="V63" s="2526"/>
      <c r="W63" s="2526"/>
      <c r="X63" s="2526"/>
      <c r="Y63" s="2526"/>
      <c r="Z63" s="2526"/>
      <c r="AA63" s="2526"/>
      <c r="AB63" s="2526"/>
      <c r="AC63" s="2526"/>
      <c r="AD63" s="2526"/>
      <c r="AE63" s="2526"/>
      <c r="AF63" s="2526"/>
      <c r="AG63" s="2526"/>
      <c r="AH63" s="2526"/>
      <c r="AI63" s="2526"/>
      <c r="AJ63" s="2526"/>
      <c r="AK63" s="2526"/>
      <c r="AL63" s="2526"/>
      <c r="AM63" s="2526"/>
    </row>
    <row customHeight="1" ht="27.75">
      <c r="O64" s="898"/>
      <c r="T64" s="2526"/>
      <c r="U64" s="2526"/>
      <c r="V64" s="2526"/>
      <c r="W64" s="2526"/>
      <c r="X64" s="2526"/>
      <c r="Y64" s="2526"/>
      <c r="Z64" s="2526"/>
      <c r="AA64" s="2526"/>
      <c r="AB64" s="2526"/>
      <c r="AC64" s="2526"/>
      <c r="AD64" s="2526"/>
      <c r="AE64" s="2526"/>
      <c r="AF64" s="2526"/>
      <c r="AG64" s="2526"/>
      <c r="AH64" s="2526"/>
      <c r="AI64" s="2526"/>
      <c r="AJ64" s="2526"/>
      <c r="AK64" s="2526"/>
      <c r="AL64" s="2526"/>
      <c r="AM64" s="2526"/>
    </row>
    <row customHeight="1" ht="33.75">
      <c r="T65" s="2526"/>
      <c r="U65" s="2526"/>
      <c r="V65" s="2526"/>
      <c r="W65" s="2526"/>
      <c r="X65" s="2526"/>
      <c r="Y65" s="2526"/>
      <c r="Z65" s="2526"/>
      <c r="AA65" s="2526"/>
      <c r="AB65" s="2526"/>
      <c r="AC65" s="2526"/>
      <c r="AD65" s="2526"/>
      <c r="AE65" s="2526"/>
      <c r="AF65" s="2526"/>
      <c r="AG65" s="2526"/>
      <c r="AH65" s="2526"/>
      <c r="AI65" s="2526"/>
      <c r="AJ65" s="2526"/>
      <c r="AK65" s="2526"/>
      <c r="AL65" s="2526"/>
      <c r="AM65" s="2526"/>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37BFF-7A15-CC52-6BEF-588F1E35AD85}"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217" width="10.57421875" hidden="1"/>
    <col min="2" max="2" style="32217" width="11.00390625" hidden="1" customWidth="1"/>
    <col min="3" max="3" style="32217" width="10.57421875" hidden="1"/>
    <col min="4" max="4" style="32217" width="11.8515625" hidden="1" customWidth="1"/>
    <col min="5" max="5" style="32217" width="10.00390625" hidden="1" customWidth="1"/>
    <col min="6" max="6" style="32217" width="8.7109375" hidden="1" customWidth="1"/>
    <col min="7" max="7" style="32217" width="7.57421875" hidden="1" customWidth="1"/>
    <col min="8" max="8" style="32217" width="11.421875" hidden="1" customWidth="1"/>
    <col min="9" max="9" style="32217" width="12.00390625" hidden="1" customWidth="1"/>
    <col min="10" max="10" style="32217" width="9.8515625" hidden="1" customWidth="1"/>
    <col min="11" max="11" style="32217" width="11.421875" hidden="1" customWidth="1"/>
    <col min="12" max="12" style="32297" width="19.140625" hidden="1" customWidth="1"/>
    <col min="13" max="14" style="32298" width="12.28125" hidden="1" customWidth="1"/>
    <col min="15" max="15" style="32298" width="23.421875" hidden="1" customWidth="1"/>
    <col min="16" max="16" style="32310" width="3.7109375" hidden="1" customWidth="1"/>
    <col min="17" max="18" style="32300" width="3.7109375" customWidth="1"/>
    <col min="19" max="19" style="32301" width="12.7109375" customWidth="1"/>
    <col min="20" max="20" style="32302" width="32.00390625" customWidth="1"/>
    <col min="21" max="21" style="32302" width="0.140625" customWidth="1"/>
    <col min="22" max="22" style="32302" width="24.7109375" hidden="1" customWidth="1"/>
    <col min="23" max="23" style="32302" width="0.140625" hidden="1" customWidth="1"/>
    <col min="24" max="25" style="32302" width="24.7109375" hidden="1" customWidth="1"/>
    <col min="26" max="26" style="32302" width="11.7109375" hidden="1" customWidth="1"/>
    <col min="27" max="27" style="32302" width="3.7109375" hidden="1" customWidth="1"/>
    <col min="28" max="28" style="32302" width="11.7109375" hidden="1" customWidth="1"/>
    <col min="29" max="29" style="32302" width="8.57421875" hidden="1" customWidth="1"/>
    <col min="30" max="30" style="32302" width="24.7109375" customWidth="1"/>
    <col min="31" max="31" style="32302" width="0.140625" customWidth="1"/>
    <col min="32" max="33" style="32302" width="24.7109375" customWidth="1"/>
    <col min="34" max="34" style="32302" width="11.7109375" customWidth="1"/>
    <col min="35" max="35" style="32302" width="3.7109375" customWidth="1"/>
    <col min="36" max="36" style="32302" width="11.7109375" customWidth="1"/>
    <col min="37" max="37" style="32302" width="8.57421875" hidden="1" customWidth="1"/>
    <col min="38" max="38" style="32302" width="4.7109375" customWidth="1"/>
    <col min="39" max="39" style="32302" width="115.7109375" customWidth="1"/>
    <col min="40" max="41" style="32289" width="10.57421875"/>
    <col min="42" max="42" style="32289" width="11.140625" customWidth="1"/>
    <col min="43" max="44" style="32289" width="10.57421875"/>
  </cols>
  <sheetData>
    <row customHeight="1" ht="14.25" hidden="1">
      <c r="Y1" s="688"/>
      <c r="Z1" s="688"/>
      <c r="AG1" s="688"/>
      <c r="AH1" s="688"/>
    </row>
    <row customHeight="1" ht="21" hidden="1">
      <c r="A2" s="1729"/>
      <c r="B2" s="1729"/>
      <c r="C2" s="1729"/>
      <c r="D2" s="1729"/>
      <c r="E2" s="2527">
        <v>1</v>
      </c>
      <c r="F2" s="1729"/>
      <c r="G2" s="1729"/>
      <c r="H2" s="1729"/>
      <c r="I2" s="1729"/>
      <c r="J2" s="1729"/>
      <c r="K2" s="1729"/>
      <c r="L2" s="1730"/>
      <c r="M2" s="1731"/>
      <c r="N2" s="1731"/>
      <c r="O2" s="1731"/>
      <c r="P2" s="722"/>
      <c r="Q2" s="721"/>
      <c r="R2" s="716"/>
      <c r="S2" s="1702">
        <f>INDEX(PT_DIFFERENTIATION_NUM_NTAR,MATCH(A2,PT_DIFFERENTIATION_NTAR_ID,0))</f>
      </c>
      <c r="T2" s="659" t="s">
        <v>131</v>
      </c>
      <c r="U2" s="661"/>
      <c r="V2" s="2521"/>
      <c r="W2" s="2522"/>
      <c r="X2" s="2522"/>
      <c r="Y2" s="2522"/>
      <c r="Z2" s="2522"/>
      <c r="AA2" s="2522"/>
      <c r="AB2" s="2522"/>
      <c r="AC2" s="2523"/>
      <c r="AD2" s="2521">
        <f>INDEX(PT_DIFFERENTIATION_NTAR,MATCH(A2,PT_DIFFERENTIATION_NTAR_ID,0))</f>
      </c>
      <c r="AE2" s="2522"/>
      <c r="AF2" s="2522"/>
      <c r="AG2" s="2522"/>
      <c r="AH2" s="2522"/>
      <c r="AI2" s="2522"/>
      <c r="AJ2" s="2522"/>
      <c r="AK2" s="2522"/>
      <c r="AL2" s="2523"/>
      <c r="AM2" s="1623" t="s">
        <v>437</v>
      </c>
      <c r="AO2" s="861"/>
      <c r="AP2" s="861" t="str">
        <f>IF(T2="","",T2)</f>
        <v>Наименование тарифа</v>
      </c>
      <c r="AQ2" s="861"/>
      <c r="AR2" s="861"/>
    </row>
    <row customHeight="1" ht="21" hidden="1">
      <c r="A3" s="1729"/>
      <c r="B3" s="1729"/>
      <c r="C3" s="1729"/>
      <c r="D3" s="1729"/>
      <c r="E3" s="2528"/>
      <c r="F3" s="2527">
        <v>1</v>
      </c>
      <c r="G3" s="1729"/>
      <c r="H3" s="1729"/>
      <c r="I3" s="1729"/>
      <c r="J3" s="1729"/>
      <c r="K3" s="1729"/>
      <c r="L3" s="1730"/>
      <c r="M3" s="1731"/>
      <c r="N3" s="1731"/>
      <c r="O3" s="1731"/>
      <c r="P3" s="1698"/>
      <c r="Q3" s="713"/>
      <c r="R3" s="714"/>
      <c r="S3" s="1702">
        <f>INDEX(PT_DIFFERENTIATION_NUM_TER,MATCH(B3,PT_DIFFERENTIATION_TER_ID,0))</f>
      </c>
      <c r="T3" s="669" t="s">
        <v>438</v>
      </c>
      <c r="U3" s="661"/>
      <c r="V3" s="2521"/>
      <c r="W3" s="2522"/>
      <c r="X3" s="2522"/>
      <c r="Y3" s="2522"/>
      <c r="Z3" s="2522"/>
      <c r="AA3" s="2522"/>
      <c r="AB3" s="2522"/>
      <c r="AC3" s="2523"/>
      <c r="AD3" s="2521">
        <f>INDEX(PT_DIFFERENTIATION_TER,MATCH(B3,PT_DIFFERENTIATION_TER_ID,0))</f>
      </c>
      <c r="AE3" s="2522"/>
      <c r="AF3" s="2522"/>
      <c r="AG3" s="2522"/>
      <c r="AH3" s="2522"/>
      <c r="AI3" s="2522"/>
      <c r="AJ3" s="2522"/>
      <c r="AK3" s="2522"/>
      <c r="AL3" s="2523"/>
      <c r="AM3" s="1623" t="s">
        <v>439</v>
      </c>
      <c r="AO3" s="861"/>
      <c r="AP3" s="861" t="str">
        <f>IF(T3="","",T3)</f>
        <v>Территория действия тарифа</v>
      </c>
      <c r="AQ3" s="861"/>
      <c r="AR3" s="861"/>
    </row>
    <row customHeight="1" ht="23.25" hidden="1">
      <c r="A4" s="1729"/>
      <c r="B4" s="1729"/>
      <c r="C4" s="1729"/>
      <c r="D4" s="1729"/>
      <c r="E4" s="2528"/>
      <c r="F4" s="2528"/>
      <c r="G4" s="2527">
        <v>1</v>
      </c>
      <c r="H4" s="1729"/>
      <c r="I4" s="1729"/>
      <c r="J4" s="1729"/>
      <c r="K4" s="1729"/>
      <c r="L4" s="1730"/>
      <c r="M4" s="1731"/>
      <c r="N4" s="1731"/>
      <c r="O4" s="1731"/>
      <c r="P4" s="715"/>
      <c r="Q4" s="713"/>
      <c r="R4" s="714"/>
      <c r="S4" s="1702">
        <f>INDEX(PT_DIFFERENTIATION_NUM_CS,MATCH(C4,PT_DIFFERENTIATION_CS_ID,0))</f>
      </c>
      <c r="T4" s="670" t="s">
        <v>440</v>
      </c>
      <c r="U4" s="661"/>
      <c r="V4" s="2521"/>
      <c r="W4" s="2522"/>
      <c r="X4" s="2522"/>
      <c r="Y4" s="2522"/>
      <c r="Z4" s="2522"/>
      <c r="AA4" s="2522"/>
      <c r="AB4" s="2522"/>
      <c r="AC4" s="2523"/>
      <c r="AD4" s="2521">
        <f>INDEX(PT_DIFFERENTIATION_CS,MATCH(C4,PT_DIFFERENTIATION_CS_ID,0))</f>
      </c>
      <c r="AE4" s="2522"/>
      <c r="AF4" s="2522"/>
      <c r="AG4" s="2522"/>
      <c r="AH4" s="2522"/>
      <c r="AI4" s="2522"/>
      <c r="AJ4" s="2522"/>
      <c r="AK4" s="2522"/>
      <c r="AL4" s="2523"/>
      <c r="AM4" s="1623" t="s">
        <v>441</v>
      </c>
      <c r="AO4" s="861"/>
      <c r="AP4" s="861" t="str">
        <f>IF(T4="","",T4)</f>
        <v>Наименование системы теплоснабжения </v>
      </c>
      <c r="AQ4" s="861"/>
      <c r="AR4" s="861"/>
    </row>
    <row customHeight="1" ht="21" hidden="1">
      <c r="A5" s="1729"/>
      <c r="B5" s="1729"/>
      <c r="C5" s="1729"/>
      <c r="D5" s="1729"/>
      <c r="E5" s="2528"/>
      <c r="F5" s="2528"/>
      <c r="G5" s="2528"/>
      <c r="H5" s="2527">
        <v>1</v>
      </c>
      <c r="I5" s="1729"/>
      <c r="J5" s="1729"/>
      <c r="K5" s="1729"/>
      <c r="L5" s="1730"/>
      <c r="M5" s="1731"/>
      <c r="N5" s="1731"/>
      <c r="O5" s="1731"/>
      <c r="P5" s="715"/>
      <c r="Q5" s="713"/>
      <c r="R5" s="714"/>
      <c r="S5" s="1702">
        <f>INDEX(PT_DIFFERENTIATION_NUM_IST_TE,MATCH(D5,PT_DIFFERENTIATION_IST_TE_ID,0))</f>
      </c>
      <c r="T5" s="671" t="s">
        <v>442</v>
      </c>
      <c r="U5" s="661"/>
      <c r="V5" s="2521"/>
      <c r="W5" s="2522"/>
      <c r="X5" s="2522"/>
      <c r="Y5" s="2522"/>
      <c r="Z5" s="2522"/>
      <c r="AA5" s="2522"/>
      <c r="AB5" s="2522"/>
      <c r="AC5" s="2523"/>
      <c r="AD5" s="2521">
        <f>INDEX(PT_DIFFERENTIATION_IST_TE,MATCH(D5,PT_DIFFERENTIATION_IST_TE_ID,0))</f>
      </c>
      <c r="AE5" s="2522"/>
      <c r="AF5" s="2522"/>
      <c r="AG5" s="2522"/>
      <c r="AH5" s="2522"/>
      <c r="AI5" s="2522"/>
      <c r="AJ5" s="2522"/>
      <c r="AK5" s="2522"/>
      <c r="AL5" s="2523"/>
      <c r="AM5" s="1623" t="s">
        <v>443</v>
      </c>
      <c r="AO5" s="861"/>
      <c r="AP5" s="861" t="str">
        <f>IF(T5="","",T5)</f>
        <v>Источник тепловой энергии  </v>
      </c>
      <c r="AQ5" s="861"/>
      <c r="AR5" s="861"/>
    </row>
    <row customHeight="1" ht="14.25" hidden="1">
      <c r="A6" s="1729"/>
      <c r="B6" s="1729"/>
      <c r="C6" s="1729"/>
      <c r="D6" s="1729"/>
      <c r="E6" s="2528"/>
      <c r="F6" s="2528"/>
      <c r="G6" s="2528"/>
      <c r="H6" s="2528"/>
      <c r="I6" s="2529">
        <f>S5&amp;".1"</f>
      </c>
      <c r="J6" s="1729"/>
      <c r="K6" s="1729"/>
      <c r="L6" s="1730" t="s">
        <v>444</v>
      </c>
      <c r="M6" s="898"/>
      <c r="P6" s="2531">
        <v>1</v>
      </c>
      <c r="Q6" s="1697"/>
      <c r="R6" s="717"/>
      <c r="S6" s="1404"/>
      <c r="T6" s="1749"/>
      <c r="U6" s="1750"/>
      <c r="V6" s="2569"/>
      <c r="W6" s="2570"/>
      <c r="X6" s="2570"/>
      <c r="Y6" s="2570"/>
      <c r="Z6" s="2570"/>
      <c r="AA6" s="2570"/>
      <c r="AB6" s="2570"/>
      <c r="AC6" s="2571"/>
      <c r="AD6" s="2569"/>
      <c r="AE6" s="2570"/>
      <c r="AF6" s="2570"/>
      <c r="AG6" s="2570"/>
      <c r="AH6" s="2570"/>
      <c r="AI6" s="2570"/>
      <c r="AJ6" s="2570"/>
      <c r="AK6" s="2570"/>
      <c r="AL6" s="2571"/>
      <c r="AM6" s="1751"/>
      <c r="AO6" s="861"/>
      <c r="AP6" s="861" t="str">
        <f>IF(T6="","",T6)</f>
        <v/>
      </c>
      <c r="AQ6" s="861"/>
      <c r="AR6" s="861"/>
    </row>
    <row customHeight="1" ht="21" hidden="1">
      <c r="A7" s="1729"/>
      <c r="B7" s="1729"/>
      <c r="C7" s="1729"/>
      <c r="D7" s="1729"/>
      <c r="E7" s="2528"/>
      <c r="F7" s="2528"/>
      <c r="G7" s="2528"/>
      <c r="H7" s="2528"/>
      <c r="I7" s="2530"/>
      <c r="J7" s="2529">
        <f>I6&amp;".1"</f>
      </c>
      <c r="K7" s="1729"/>
      <c r="L7" s="1730" t="s">
        <v>447</v>
      </c>
      <c r="M7" s="898"/>
      <c r="N7" s="1732"/>
      <c r="P7" s="2531"/>
      <c r="Q7" s="2531">
        <v>1</v>
      </c>
      <c r="R7" s="718"/>
      <c r="S7" s="1702">
        <f>$J7</f>
      </c>
      <c r="T7" s="647" t="s">
        <v>448</v>
      </c>
      <c r="U7" s="661"/>
      <c r="V7" s="2515"/>
      <c r="W7" s="2516"/>
      <c r="X7" s="2516"/>
      <c r="Y7" s="2516"/>
      <c r="Z7" s="2516"/>
      <c r="AA7" s="2516"/>
      <c r="AB7" s="2516"/>
      <c r="AC7" s="2517"/>
      <c r="AD7" s="2515"/>
      <c r="AE7" s="2516"/>
      <c r="AF7" s="2516"/>
      <c r="AG7" s="2516"/>
      <c r="AH7" s="2516"/>
      <c r="AI7" s="2516"/>
      <c r="AJ7" s="2516"/>
      <c r="AK7" s="2516"/>
      <c r="AL7" s="2517"/>
      <c r="AM7" s="1623" t="s">
        <v>449</v>
      </c>
      <c r="AO7" s="861"/>
      <c r="AP7" s="861" t="str">
        <f>IF(T7="","",T7)</f>
        <v>Группа потребителей</v>
      </c>
      <c r="AQ7" s="861"/>
      <c r="AR7" s="861"/>
    </row>
    <row customHeight="1" ht="21" hidden="1">
      <c r="A8" s="1729"/>
      <c r="B8" s="1729"/>
      <c r="C8" s="1729"/>
      <c r="D8" s="1729"/>
      <c r="E8" s="2528"/>
      <c r="F8" s="2528"/>
      <c r="G8" s="2528"/>
      <c r="H8" s="2528"/>
      <c r="I8" s="2530"/>
      <c r="J8" s="2530"/>
      <c r="K8" s="2529">
        <f>J7&amp;".1"</f>
      </c>
      <c r="L8" s="1730" t="s">
        <v>450</v>
      </c>
      <c r="M8" s="898"/>
      <c r="N8" s="1732"/>
      <c r="O8" s="1732"/>
      <c r="P8" s="2531"/>
      <c r="Q8" s="2531"/>
      <c r="R8" s="718">
        <v>1</v>
      </c>
      <c r="S8" s="1702">
        <f>$K8</f>
      </c>
      <c r="T8" s="1713"/>
      <c r="U8" s="661"/>
      <c r="V8" s="1112"/>
      <c r="W8" s="686"/>
      <c r="X8" s="1112"/>
      <c r="Y8" s="1622"/>
      <c r="Z8" s="2532"/>
      <c r="AA8" s="2402" t="s">
        <v>66</v>
      </c>
      <c r="AB8" s="2532"/>
      <c r="AC8" s="2402" t="s">
        <v>66</v>
      </c>
      <c r="AD8" s="1112"/>
      <c r="AE8" s="686"/>
      <c r="AF8" s="1112"/>
      <c r="AG8" s="1622"/>
      <c r="AH8" s="2532"/>
      <c r="AI8" s="2402" t="s">
        <v>66</v>
      </c>
      <c r="AJ8" s="2532"/>
      <c r="AK8" s="2402" t="s">
        <v>66</v>
      </c>
      <c r="AL8" s="686"/>
      <c r="AM8" s="2557" t="s">
        <v>451</v>
      </c>
      <c r="AN8" s="872">
        <f>STRCHECKDATE(V9:AL9)</f>
      </c>
      <c r="AO8" s="861"/>
      <c r="AP8" s="861" t="str">
        <f>IF(T8="","",T8)</f>
        <v/>
      </c>
      <c r="AQ8" s="861"/>
      <c r="AR8" s="861"/>
    </row>
    <row customHeight="1" ht="14.25" hidden="1">
      <c r="A9" s="1729"/>
      <c r="B9" s="1729"/>
      <c r="C9" s="1729"/>
      <c r="D9" s="1729"/>
      <c r="E9" s="2528"/>
      <c r="F9" s="2528"/>
      <c r="G9" s="2528"/>
      <c r="H9" s="2528"/>
      <c r="I9" s="2530"/>
      <c r="J9" s="2530"/>
      <c r="K9" s="2529"/>
      <c r="L9" s="1730"/>
      <c r="M9" s="898"/>
      <c r="N9" s="1732"/>
      <c r="O9" s="1732"/>
      <c r="P9" s="2531"/>
      <c r="Q9" s="2531"/>
      <c r="R9" s="718"/>
      <c r="S9" s="1708"/>
      <c r="T9" s="661"/>
      <c r="U9" s="661"/>
      <c r="V9" s="686"/>
      <c r="W9" s="686"/>
      <c r="X9" s="686"/>
      <c r="Y9" s="689" t="str">
        <f>Z8&amp;"-"&amp;AB8</f>
        <v>-</v>
      </c>
      <c r="Z9" s="2533"/>
      <c r="AA9" s="2402"/>
      <c r="AB9" s="2533"/>
      <c r="AC9" s="2402"/>
      <c r="AD9" s="686"/>
      <c r="AE9" s="686"/>
      <c r="AF9" s="686"/>
      <c r="AG9" s="689" t="str">
        <f>AH8&amp;"-"&amp;AJ8</f>
        <v>-</v>
      </c>
      <c r="AH9" s="2533"/>
      <c r="AI9" s="2402"/>
      <c r="AJ9" s="2533"/>
      <c r="AK9" s="2402"/>
      <c r="AL9" s="686"/>
      <c r="AM9" s="2558"/>
      <c r="AO9" s="861"/>
      <c r="AP9" s="861" t="str">
        <f>IF(T9="","",T9)</f>
        <v/>
      </c>
      <c r="AQ9" s="861"/>
      <c r="AR9" s="861"/>
    </row>
    <row customHeight="1" ht="15" hidden="1">
      <c r="A10" s="1729"/>
      <c r="B10" s="1729"/>
      <c r="C10" s="1729"/>
      <c r="D10" s="1729"/>
      <c r="E10" s="2528"/>
      <c r="F10" s="2528"/>
      <c r="G10" s="2528"/>
      <c r="H10" s="2528"/>
      <c r="I10" s="2530"/>
      <c r="J10" s="2529"/>
      <c r="K10" s="1729"/>
      <c r="L10" s="1730"/>
      <c r="M10" s="898"/>
      <c r="N10" s="1732"/>
      <c r="P10" s="2531"/>
      <c r="Q10" s="2531"/>
      <c r="R10" s="717"/>
      <c r="S10" s="1644"/>
      <c r="T10" s="648" t="s">
        <v>452</v>
      </c>
      <c r="U10" s="728"/>
      <c r="V10" s="728"/>
      <c r="W10" s="728"/>
      <c r="X10" s="728"/>
      <c r="Y10" s="728"/>
      <c r="Z10" s="728"/>
      <c r="AA10" s="728"/>
      <c r="AB10" s="728"/>
      <c r="AC10" s="728"/>
      <c r="AD10" s="728"/>
      <c r="AE10" s="728"/>
      <c r="AF10" s="728"/>
      <c r="AG10" s="728"/>
      <c r="AH10" s="728"/>
      <c r="AI10" s="728"/>
      <c r="AJ10" s="728"/>
      <c r="AK10" s="728"/>
      <c r="AL10" s="685"/>
      <c r="AM10" s="2559"/>
      <c r="AO10" s="861"/>
      <c r="AP10" s="861" t="str">
        <f>IF(T10="","",T10)</f>
        <v>Добавить вид теплоносителя (параметры теплоносителя)</v>
      </c>
      <c r="AQ10" s="861"/>
      <c r="AR10" s="861"/>
    </row>
    <row customHeight="1" ht="11.25" hidden="1">
      <c r="A11" s="1729"/>
      <c r="B11" s="1729"/>
      <c r="C11" s="1729"/>
      <c r="D11" s="1729"/>
      <c r="E11" s="2528"/>
      <c r="F11" s="2528"/>
      <c r="G11" s="2528"/>
      <c r="H11" s="2528"/>
      <c r="I11" s="2529"/>
      <c r="J11" s="1729"/>
      <c r="K11" s="1729"/>
      <c r="L11" s="1730"/>
      <c r="M11" s="898"/>
      <c r="P11" s="2531"/>
      <c r="Q11" s="1697"/>
      <c r="R11" s="717"/>
      <c r="S11" s="1644"/>
      <c r="T11" s="726" t="s">
        <v>453</v>
      </c>
      <c r="U11" s="728"/>
      <c r="V11" s="728"/>
      <c r="W11" s="728"/>
      <c r="X11" s="728"/>
      <c r="Y11" s="728"/>
      <c r="Z11" s="728"/>
      <c r="AA11" s="728"/>
      <c r="AB11" s="728"/>
      <c r="AC11" s="727"/>
      <c r="AD11" s="728"/>
      <c r="AE11" s="728"/>
      <c r="AF11" s="728"/>
      <c r="AG11" s="728"/>
      <c r="AH11" s="728"/>
      <c r="AI11" s="728"/>
      <c r="AJ11" s="728"/>
      <c r="AK11" s="727"/>
      <c r="AL11" s="728"/>
      <c r="AM11" s="664"/>
      <c r="AO11" s="861"/>
      <c r="AP11" s="861" t="str">
        <f>IF(T11="","",T11)</f>
        <v>Добавить группу потребителей</v>
      </c>
      <c r="AQ11" s="861"/>
      <c r="AR11" s="861"/>
    </row>
    <row customHeight="1" ht="14.25" hidden="1">
      <c r="A12" s="1729"/>
      <c r="B12" s="1729"/>
      <c r="C12" s="1729"/>
      <c r="D12" s="1729"/>
      <c r="E12" s="2528"/>
      <c r="F12" s="2528"/>
      <c r="G12" s="2528"/>
      <c r="H12" s="2527"/>
      <c r="I12" s="1729"/>
      <c r="J12" s="1729"/>
      <c r="K12" s="1729"/>
      <c r="L12" s="1730"/>
      <c r="M12" s="1731"/>
      <c r="N12" s="1731"/>
      <c r="O12" s="898"/>
      <c r="P12" s="721"/>
      <c r="Q12" s="736"/>
      <c r="R12" s="716"/>
      <c r="S12" s="1752"/>
      <c r="T12" s="1753"/>
      <c r="U12" s="1754"/>
      <c r="V12" s="1754"/>
      <c r="W12" s="1754"/>
      <c r="X12" s="1754"/>
      <c r="Y12" s="1754"/>
      <c r="Z12" s="1754"/>
      <c r="AA12" s="1754"/>
      <c r="AB12" s="1754"/>
      <c r="AC12" s="1754"/>
      <c r="AD12" s="1754"/>
      <c r="AE12" s="1754"/>
      <c r="AF12" s="1754"/>
      <c r="AG12" s="1754"/>
      <c r="AH12" s="1754"/>
      <c r="AI12" s="1754"/>
      <c r="AJ12" s="1754"/>
      <c r="AK12" s="1754"/>
      <c r="AL12" s="1754"/>
      <c r="AM12" s="1755"/>
      <c r="AO12" s="861"/>
      <c r="AP12" s="861" t="str">
        <f>IF(T12="","",T12)</f>
        <v/>
      </c>
      <c r="AQ12" s="861"/>
      <c r="AR12" s="861"/>
    </row>
    <row s="32198" customFormat="1" customHeight="1" ht="14.25" hidden="1">
      <c r="A13" s="1680"/>
      <c r="B13" s="1680"/>
      <c r="C13" s="1680"/>
      <c r="D13" s="1680"/>
      <c r="E13" s="2528"/>
      <c r="F13" s="2528"/>
      <c r="G13" s="2527"/>
      <c r="H13" s="1680"/>
      <c r="I13" s="1680"/>
      <c r="J13" s="1680"/>
      <c r="K13" s="1680"/>
      <c r="L13" s="1705"/>
      <c r="M13" s="1681"/>
      <c r="N13" s="1681"/>
      <c r="P13" s="1682"/>
      <c r="Q13" s="1683"/>
      <c r="R13" s="1682"/>
      <c r="S13" s="1684"/>
      <c r="T13" s="1685" t="s">
        <v>455</v>
      </c>
      <c r="U13" s="1686"/>
      <c r="V13" s="1686"/>
      <c r="W13" s="1686"/>
      <c r="X13" s="1686"/>
      <c r="Y13" s="1686"/>
      <c r="Z13" s="1686"/>
      <c r="AA13" s="1686"/>
      <c r="AB13" s="1686"/>
      <c r="AC13" s="1686"/>
      <c r="AD13" s="1686"/>
      <c r="AE13" s="1686"/>
      <c r="AF13" s="1686"/>
      <c r="AG13" s="1686"/>
      <c r="AH13" s="1686"/>
      <c r="AI13" s="1686"/>
      <c r="AJ13" s="1686"/>
      <c r="AK13" s="1686"/>
      <c r="AL13" s="1686"/>
      <c r="AM13" s="1686"/>
      <c r="AO13" s="1150"/>
      <c r="AP13" s="1150" t="str">
        <f>IF(T13="","",T13)</f>
        <v>Добавить источник для дифференциации</v>
      </c>
      <c r="AQ13" s="1150"/>
      <c r="AR13" s="1150"/>
    </row>
    <row s="32198" customFormat="1" customHeight="1" ht="14.25" hidden="1">
      <c r="A14" s="1680"/>
      <c r="B14" s="1680"/>
      <c r="C14" s="1680"/>
      <c r="D14" s="1680"/>
      <c r="E14" s="2528"/>
      <c r="F14" s="2527"/>
      <c r="G14" s="1680"/>
      <c r="H14" s="1680"/>
      <c r="I14" s="1680"/>
      <c r="J14" s="1680"/>
      <c r="K14" s="1680"/>
      <c r="L14" s="1705"/>
      <c r="M14" s="1687"/>
      <c r="N14" s="1687"/>
      <c r="P14" s="1682"/>
      <c r="Q14" s="1683"/>
      <c r="R14" s="1682"/>
      <c r="S14" s="1688"/>
      <c r="T14" s="1689" t="s">
        <v>262</v>
      </c>
      <c r="U14" s="1690"/>
      <c r="V14" s="1690"/>
      <c r="W14" s="1690"/>
      <c r="X14" s="1690"/>
      <c r="Y14" s="1690"/>
      <c r="Z14" s="1690"/>
      <c r="AA14" s="1690"/>
      <c r="AB14" s="1690"/>
      <c r="AC14" s="1690"/>
      <c r="AD14" s="1690"/>
      <c r="AE14" s="1690"/>
      <c r="AF14" s="1690"/>
      <c r="AG14" s="1690"/>
      <c r="AH14" s="1690"/>
      <c r="AI14" s="1690"/>
      <c r="AJ14" s="1690"/>
      <c r="AK14" s="1690"/>
      <c r="AL14" s="1690"/>
      <c r="AM14" s="1690"/>
      <c r="AO14" s="1150"/>
      <c r="AP14" s="1150" t="str">
        <f>IF(T14="","",T14)</f>
        <v>Добавить централизованную систему для дифференциации</v>
      </c>
      <c r="AQ14" s="1150"/>
      <c r="AR14" s="1150"/>
    </row>
    <row s="32198" customFormat="1" customHeight="1" ht="14.25" hidden="1">
      <c r="A15" s="1680"/>
      <c r="B15" s="1680"/>
      <c r="C15" s="1680"/>
      <c r="D15" s="1680"/>
      <c r="E15" s="2527"/>
      <c r="F15" s="1680"/>
      <c r="G15" s="1680"/>
      <c r="H15" s="1680"/>
      <c r="I15" s="1680"/>
      <c r="J15" s="1680"/>
      <c r="K15" s="1680"/>
      <c r="L15" s="1705"/>
      <c r="M15" s="1687"/>
      <c r="N15" s="1687"/>
      <c r="P15" s="1682"/>
      <c r="Q15" s="1683"/>
      <c r="R15" s="1682"/>
      <c r="S15" s="1688"/>
      <c r="T15" s="1691" t="s">
        <v>270</v>
      </c>
      <c r="U15" s="1690"/>
      <c r="V15" s="1690"/>
      <c r="W15" s="1690"/>
      <c r="X15" s="1690"/>
      <c r="Y15" s="1690"/>
      <c r="Z15" s="1690"/>
      <c r="AA15" s="1690"/>
      <c r="AB15" s="1690"/>
      <c r="AC15" s="1690"/>
      <c r="AD15" s="1690"/>
      <c r="AE15" s="1690"/>
      <c r="AF15" s="1690"/>
      <c r="AG15" s="1690"/>
      <c r="AH15" s="1690"/>
      <c r="AI15" s="1690"/>
      <c r="AJ15" s="1690"/>
      <c r="AK15" s="1690"/>
      <c r="AL15" s="1690"/>
      <c r="AM15" s="1690"/>
      <c r="AO15" s="1150"/>
      <c r="AP15" s="1150" t="str">
        <f>IF(T15="","",T15)</f>
        <v>Добавить территорию для дифференциации</v>
      </c>
      <c r="AQ15" s="1150"/>
      <c r="AR15" s="1150"/>
    </row>
    <row customHeight="1" ht="14.25" hidden="1">
      <c r="AC16" s="688"/>
      <c r="AK16" s="688"/>
    </row>
    <row customHeight="1" ht="14.25" hidden="1">
      <c r="AD17" s="1726"/>
      <c r="AE17" s="1726"/>
      <c r="AF17" s="1726"/>
      <c r="AG17" s="1727"/>
      <c r="AH17" s="2525"/>
      <c r="AI17" s="2524" t="s">
        <v>66</v>
      </c>
      <c r="AJ17" s="2525"/>
      <c r="AK17" s="2524" t="s">
        <v>66</v>
      </c>
    </row>
    <row customHeight="1" ht="14.25" hidden="1">
      <c r="AD18" s="1726"/>
      <c r="AE18" s="1726"/>
      <c r="AF18" s="1726"/>
      <c r="AG18" s="689" t="str">
        <f>AH17&amp;"-"&amp;AJ17</f>
        <v>-</v>
      </c>
      <c r="AH18" s="2524"/>
      <c r="AI18" s="2524"/>
      <c r="AJ18" s="2524"/>
      <c r="AK18" s="2524"/>
    </row>
    <row customHeight="1" ht="14.25" hidden="1">
      <c r="AK19" s="688"/>
    </row>
    <row s="32217" customFormat="1" customHeight="1" ht="22.5" hidden="1">
      <c r="L20" s="1695"/>
      <c r="M20" s="1728"/>
      <c r="N20" s="1728"/>
      <c r="O20" s="1733" t="s">
        <v>456</v>
      </c>
      <c r="P20" s="1728"/>
      <c r="Q20" s="1737"/>
      <c r="R20" s="1737"/>
      <c r="S20" s="1090"/>
      <c r="Z20" s="1733"/>
      <c r="AB20" s="1733"/>
      <c r="AC20" s="1732"/>
      <c r="AH20" s="1733"/>
      <c r="AJ20" s="1733"/>
      <c r="AK20" s="1732"/>
      <c r="AN20" s="872"/>
      <c r="AO20" s="872"/>
      <c r="AP20" s="872"/>
      <c r="AQ20" s="872"/>
      <c r="AR20" s="872"/>
    </row>
    <row s="32217" customFormat="1" customHeight="1" ht="14.25" hidden="1">
      <c r="L21" s="1695"/>
      <c r="M21" s="1728"/>
      <c r="N21" s="1728"/>
      <c r="O21" s="1728"/>
      <c r="P21" s="1728"/>
      <c r="Q21" s="1737"/>
      <c r="R21" s="1737"/>
      <c r="S21" s="1090"/>
      <c r="AC21" s="1732"/>
      <c r="AK21" s="1732"/>
      <c r="AN21" s="872"/>
      <c r="AO21" s="872"/>
      <c r="AP21" s="872"/>
      <c r="AQ21" s="872"/>
      <c r="AR21" s="872"/>
    </row>
    <row s="32217" customFormat="1" customHeight="1" ht="14.25" hidden="1">
      <c r="L22" s="1695"/>
      <c r="M22" s="1728"/>
      <c r="N22" s="1728"/>
      <c r="O22" s="1730" t="s">
        <v>457</v>
      </c>
      <c r="P22" s="1728"/>
      <c r="Q22" s="1737"/>
      <c r="R22" s="1737"/>
      <c r="S22" s="1090"/>
      <c r="T22" s="1523" t="s">
        <v>458</v>
      </c>
      <c r="AA22" s="547" t="s">
        <v>459</v>
      </c>
      <c r="AC22" s="547" t="s">
        <v>460</v>
      </c>
      <c r="AD22" s="1523" t="s">
        <v>458</v>
      </c>
      <c r="AI22" s="547" t="s">
        <v>461</v>
      </c>
      <c r="AK22" s="547" t="s">
        <v>460</v>
      </c>
      <c r="AN22" s="872"/>
      <c r="AO22" s="872"/>
      <c r="AP22" s="872"/>
      <c r="AQ22" s="872"/>
      <c r="AR22" s="872"/>
    </row>
    <row customHeight="1" ht="14.25" hidden="1">
      <c r="O23" s="1730"/>
    </row>
    <row customHeight="1" ht="14.25" hidden="1">
      <c r="O24" s="1730"/>
    </row>
    <row customHeight="1" ht="14.25">
      <c r="Q25" s="737"/>
      <c r="R25" s="737"/>
      <c r="S25" s="1641"/>
      <c r="T25" s="724"/>
      <c r="U25" s="724"/>
      <c r="V25" s="870"/>
      <c r="W25" s="870"/>
      <c r="X25" s="870"/>
      <c r="Y25" s="870"/>
      <c r="Z25" s="870"/>
      <c r="AA25" s="870"/>
      <c r="AB25" s="870"/>
      <c r="AC25" s="870"/>
      <c r="AD25" s="870"/>
      <c r="AE25" s="870"/>
      <c r="AF25" s="870"/>
      <c r="AG25" s="870"/>
      <c r="AH25" s="870"/>
      <c r="AI25" s="870"/>
      <c r="AJ25" s="870"/>
      <c r="AK25" s="870"/>
    </row>
    <row customHeight="1" ht="51">
      <c r="Q26" s="737"/>
      <c r="R26" s="737"/>
      <c r="S26" s="256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60"/>
      <c r="U26" s="2560"/>
      <c r="V26" s="2560"/>
      <c r="W26" s="2560"/>
      <c r="X26" s="2560"/>
      <c r="Y26" s="2560"/>
      <c r="Z26" s="2560"/>
      <c r="AA26" s="2560"/>
      <c r="AB26" s="2560"/>
      <c r="AC26" s="2560"/>
      <c r="AD26" s="2560"/>
      <c r="AE26" s="2560"/>
      <c r="AF26" s="2560"/>
      <c r="AG26" s="2560"/>
      <c r="AH26" s="2560"/>
      <c r="AI26" s="2560"/>
      <c r="AJ26" s="2560"/>
      <c r="AK26" s="1608"/>
    </row>
    <row customHeight="1" ht="14.25">
      <c r="Q27" s="737"/>
      <c r="R27" s="737"/>
      <c r="S27" s="2561" t="str">
        <f>IF(org=0,"Не определено",org)</f>
        <v>АО "Мурманэнергосбыт"</v>
      </c>
      <c r="T27" s="2561"/>
      <c r="U27" s="2561"/>
      <c r="V27" s="2561"/>
      <c r="W27" s="2561"/>
      <c r="X27" s="2561"/>
      <c r="Y27" s="2561"/>
      <c r="Z27" s="2561"/>
      <c r="AA27" s="2561"/>
      <c r="AB27" s="2561"/>
      <c r="AC27" s="2561"/>
      <c r="AD27" s="2561"/>
      <c r="AE27" s="2561"/>
      <c r="AF27" s="2561"/>
      <c r="AG27" s="2561"/>
      <c r="AH27" s="2561"/>
      <c r="AI27" s="2561"/>
      <c r="AJ27" s="2561"/>
      <c r="AK27" s="1608"/>
    </row>
    <row customHeight="1" ht="14.25">
      <c r="Q28" s="737"/>
      <c r="R28" s="737"/>
      <c r="S28" s="1641"/>
      <c r="T28" s="724"/>
      <c r="U28" s="724"/>
      <c r="V28" s="683"/>
      <c r="W28" s="683"/>
      <c r="X28" s="683"/>
      <c r="Y28" s="683"/>
      <c r="Z28" s="683"/>
      <c r="AA28" s="683"/>
      <c r="AB28" s="683"/>
      <c r="AC28" s="683"/>
      <c r="AD28" s="683"/>
      <c r="AE28" s="683"/>
      <c r="AF28" s="683"/>
      <c r="AG28" s="683"/>
      <c r="AH28" s="683"/>
      <c r="AI28" s="683"/>
      <c r="AJ28" s="683"/>
      <c r="AK28" s="683"/>
      <c r="AL28" s="870"/>
    </row>
    <row s="32230" customFormat="1" customHeight="1" ht="25.5">
      <c r="A29" s="1734"/>
      <c r="B29" s="1734"/>
      <c r="C29" s="1734"/>
      <c r="D29" s="1734"/>
      <c r="E29" s="1734"/>
      <c r="F29" s="1734"/>
      <c r="G29" s="1734"/>
      <c r="H29" s="1734"/>
      <c r="I29" s="1734"/>
      <c r="J29" s="1734"/>
      <c r="K29" s="1734"/>
      <c r="L29" s="1735"/>
      <c r="M29" s="1734"/>
      <c r="N29" s="1734"/>
      <c r="O29" s="1734"/>
      <c r="S29" s="2518" t="s">
        <v>38</v>
      </c>
      <c r="T29" s="2518"/>
      <c r="U29" s="1738"/>
      <c r="V29" s="2520" t="str">
        <f>IF(TITLE_NAME_OR_PR_CHANGE="",IF(TITLE_NAME_OR_PR="","",TITLE_NAME_OR_PR),TITLE_NAME_OR_PR_CHANGE)</f>
        <v>Комитет по тарифному регулированию Мурманской области</v>
      </c>
      <c r="W29" s="2520"/>
      <c r="X29" s="2520"/>
      <c r="Y29" s="2520"/>
      <c r="Z29" s="2520"/>
      <c r="AA29" s="2520"/>
      <c r="AB29" s="2520"/>
      <c r="AC29" s="687"/>
      <c r="AD29" s="2520" t="str">
        <f>IF(TITLE_NAME_OR_PR_CHANGE="",IF(TITLE_NAME_OR_PR="","",TITLE_NAME_OR_PR),TITLE_NAME_OR_PR_CHANGE)</f>
        <v>Комитет по тарифному регулированию Мурманской области</v>
      </c>
      <c r="AE29" s="2520"/>
      <c r="AF29" s="2520"/>
      <c r="AG29" s="2520"/>
      <c r="AH29" s="2520"/>
      <c r="AI29" s="2520"/>
      <c r="AJ29" s="2520"/>
      <c r="AK29" s="687"/>
      <c r="AL29" s="687"/>
      <c r="AM29" s="641"/>
      <c r="AN29" s="729"/>
      <c r="AO29" s="729"/>
      <c r="AP29" s="729"/>
      <c r="AQ29" s="729"/>
      <c r="AR29" s="729"/>
    </row>
    <row s="32230" customFormat="1" customHeight="1" ht="18.75">
      <c r="A30" s="1734"/>
      <c r="B30" s="1734"/>
      <c r="C30" s="1734"/>
      <c r="D30" s="1734"/>
      <c r="E30" s="1734"/>
      <c r="F30" s="1734"/>
      <c r="G30" s="1734"/>
      <c r="H30" s="1734"/>
      <c r="I30" s="1734"/>
      <c r="J30" s="1734"/>
      <c r="K30" s="1734"/>
      <c r="L30" s="1735"/>
      <c r="M30" s="1734"/>
      <c r="N30" s="1734"/>
      <c r="O30" s="1734"/>
      <c r="S30" s="2518" t="s">
        <v>462</v>
      </c>
      <c r="T30" s="2518"/>
      <c r="U30" s="1738"/>
      <c r="V30" s="2519" t="str">
        <f>IF(TITLE_DATE_PR_CHANGE="",IF(TITLE_DATE_PR="","",TITLE_DATE_PR),TITLE_DATE_PR_CHANGE)</f>
        <v>45280</v>
      </c>
      <c r="W30" s="2519"/>
      <c r="X30" s="2519"/>
      <c r="Y30" s="2519"/>
      <c r="Z30" s="2519"/>
      <c r="AA30" s="2519"/>
      <c r="AB30" s="2519"/>
      <c r="AC30" s="687"/>
      <c r="AD30" s="2519" t="str">
        <f>IF(TITLE_DATE_PR_CHANGE="",IF(TITLE_DATE_PR="","",TITLE_DATE_PR),TITLE_DATE_PR_CHANGE)</f>
        <v>45280</v>
      </c>
      <c r="AE30" s="2519"/>
      <c r="AF30" s="2519"/>
      <c r="AG30" s="2519"/>
      <c r="AH30" s="2519"/>
      <c r="AI30" s="2519"/>
      <c r="AJ30" s="2519"/>
      <c r="AK30" s="687"/>
      <c r="AL30" s="687"/>
      <c r="AM30" s="641"/>
      <c r="AN30" s="729"/>
      <c r="AO30" s="729"/>
      <c r="AP30" s="729"/>
      <c r="AQ30" s="729"/>
      <c r="AR30" s="729"/>
    </row>
    <row s="32230" customFormat="1" customHeight="1" ht="18.75">
      <c r="A31" s="1734"/>
      <c r="B31" s="1734"/>
      <c r="C31" s="1734"/>
      <c r="D31" s="1734"/>
      <c r="E31" s="1734"/>
      <c r="F31" s="1734"/>
      <c r="G31" s="1734"/>
      <c r="H31" s="1734"/>
      <c r="I31" s="1734"/>
      <c r="J31" s="1734"/>
      <c r="K31" s="1734"/>
      <c r="L31" s="1735"/>
      <c r="M31" s="1734"/>
      <c r="N31" s="1734"/>
      <c r="O31" s="1734"/>
      <c r="S31" s="2518" t="s">
        <v>463</v>
      </c>
      <c r="T31" s="2518"/>
      <c r="U31" s="1738"/>
      <c r="V31" s="2520" t="str">
        <f>IF(TITLE_NUMBER_PR_CHANGE="",IF(TITLE_NUMBER_PR="","",TITLE_NUMBER_PR),TITLE_NUMBER_PR_CHANGE)</f>
        <v>51/16</v>
      </c>
      <c r="W31" s="2520"/>
      <c r="X31" s="2520"/>
      <c r="Y31" s="2520"/>
      <c r="Z31" s="2520"/>
      <c r="AA31" s="2520"/>
      <c r="AB31" s="2520"/>
      <c r="AC31" s="687"/>
      <c r="AD31" s="2520" t="str">
        <f>IF(TITLE_NUMBER_PR_CHANGE="",IF(TITLE_NUMBER_PR="","",TITLE_NUMBER_PR),TITLE_NUMBER_PR_CHANGE)</f>
        <v>51/16</v>
      </c>
      <c r="AE31" s="2520"/>
      <c r="AF31" s="2520"/>
      <c r="AG31" s="2520"/>
      <c r="AH31" s="2520"/>
      <c r="AI31" s="2520"/>
      <c r="AJ31" s="2520"/>
      <c r="AK31" s="687"/>
      <c r="AL31" s="687"/>
      <c r="AM31" s="641"/>
      <c r="AN31" s="729"/>
      <c r="AO31" s="729"/>
      <c r="AP31" s="729"/>
      <c r="AQ31" s="729"/>
      <c r="AR31" s="729"/>
    </row>
    <row s="32230" customFormat="1" customHeight="1" ht="18.75">
      <c r="A32" s="1734"/>
      <c r="B32" s="1734"/>
      <c r="C32" s="1734"/>
      <c r="D32" s="1734"/>
      <c r="E32" s="1734"/>
      <c r="F32" s="1734"/>
      <c r="G32" s="1734"/>
      <c r="H32" s="1734"/>
      <c r="I32" s="1734"/>
      <c r="J32" s="1734"/>
      <c r="K32" s="1734"/>
      <c r="L32" s="1735"/>
      <c r="M32" s="1734"/>
      <c r="N32" s="1734"/>
      <c r="O32" s="1734"/>
      <c r="S32" s="2518" t="s">
        <v>40</v>
      </c>
      <c r="T32" s="2518"/>
      <c r="U32" s="1738"/>
      <c r="V32" s="2520" t="str">
        <f>IF(TITLE_IST_PUB_CHANGE="",IF(TITLE_IST_PUB="","",TITLE_IST_PUB),TITLE_IST_PUB_CHANGE)</f>
        <v>https://npa.gov-murman.ru/bitrix/components/b1team/govmurman.element.file/download.php?ID=508455&amp;FID=750728</v>
      </c>
      <c r="W32" s="2520"/>
      <c r="X32" s="2520"/>
      <c r="Y32" s="2520"/>
      <c r="Z32" s="2520"/>
      <c r="AA32" s="2520"/>
      <c r="AB32" s="2520"/>
      <c r="AC32" s="687"/>
      <c r="AD32" s="2520" t="str">
        <f>IF(TITLE_IST_PUB_CHANGE="",IF(TITLE_IST_PUB="","",TITLE_IST_PUB),TITLE_IST_PUB_CHANGE)</f>
        <v>https://npa.gov-murman.ru/bitrix/components/b1team/govmurman.element.file/download.php?ID=508455&amp;FID=750728</v>
      </c>
      <c r="AE32" s="2520"/>
      <c r="AF32" s="2520"/>
      <c r="AG32" s="2520"/>
      <c r="AH32" s="2520"/>
      <c r="AI32" s="2520"/>
      <c r="AJ32" s="2520"/>
      <c r="AK32" s="687"/>
      <c r="AL32" s="687"/>
      <c r="AM32" s="641"/>
      <c r="AN32" s="729"/>
      <c r="AO32" s="729"/>
      <c r="AP32" s="729"/>
      <c r="AQ32" s="729"/>
      <c r="AR32" s="729"/>
    </row>
    <row customHeight="1" ht="14.25" hidden="1">
      <c r="Q33" s="737"/>
      <c r="R33" s="737"/>
      <c r="S33" s="1641"/>
      <c r="T33" s="724"/>
      <c r="U33" s="724"/>
      <c r="V33" s="683"/>
      <c r="W33" s="683"/>
      <c r="X33" s="683"/>
      <c r="Y33" s="683"/>
      <c r="Z33" s="683"/>
      <c r="AA33" s="683"/>
      <c r="AB33" s="683"/>
      <c r="AC33" s="683"/>
      <c r="AD33" s="683"/>
      <c r="AE33" s="683"/>
      <c r="AF33" s="683"/>
      <c r="AG33" s="683"/>
      <c r="AH33" s="683"/>
      <c r="AI33" s="683"/>
      <c r="AJ33" s="683"/>
      <c r="AK33" s="683"/>
      <c r="AL33" s="870"/>
    </row>
    <row s="32230" customFormat="1" customHeight="1" ht="18.75" hidden="1">
      <c r="A34" s="1734"/>
      <c r="B34" s="1734"/>
      <c r="C34" s="1734"/>
      <c r="D34" s="1734"/>
      <c r="E34" s="1734"/>
      <c r="F34" s="1734"/>
      <c r="G34" s="1734"/>
      <c r="H34" s="1734"/>
      <c r="I34" s="1734"/>
      <c r="J34" s="1734"/>
      <c r="K34" s="1734"/>
      <c r="L34" s="1735"/>
      <c r="M34" s="1734"/>
      <c r="N34" s="1734"/>
      <c r="O34" s="1734"/>
      <c r="S34" s="2518" t="s">
        <v>464</v>
      </c>
      <c r="T34" s="2518"/>
      <c r="U34" s="1738"/>
      <c r="V34" s="2519" t="str">
        <f>IF(TITLE_DATE_PR_CHANGE="",IF(TITLE_DATE_PR="","",TITLE_DATE_PR),TITLE_DATE_PR_CHANGE)</f>
        <v>45280</v>
      </c>
      <c r="W34" s="2519"/>
      <c r="X34" s="2519"/>
      <c r="Y34" s="2519"/>
      <c r="Z34" s="2519"/>
      <c r="AA34" s="2519"/>
      <c r="AB34" s="2519"/>
      <c r="AC34" s="687"/>
      <c r="AD34" s="2519" t="str">
        <f>IF(TITLE_DATE_PR_CHANGE="",IF(TITLE_DATE_PR="","",TITLE_DATE_PR),TITLE_DATE_PR_CHANGE)</f>
        <v>45280</v>
      </c>
      <c r="AE34" s="2519"/>
      <c r="AF34" s="2519"/>
      <c r="AG34" s="2519"/>
      <c r="AH34" s="2519"/>
      <c r="AI34" s="2519"/>
      <c r="AJ34" s="2519"/>
      <c r="AK34" s="687"/>
      <c r="AL34" s="687"/>
      <c r="AM34" s="641"/>
      <c r="AN34" s="729"/>
      <c r="AO34" s="729"/>
      <c r="AP34" s="729"/>
      <c r="AQ34" s="729"/>
      <c r="AR34" s="729"/>
    </row>
    <row s="32230" customFormat="1" customHeight="1" ht="25.5" hidden="1">
      <c r="A35" s="1734"/>
      <c r="B35" s="1734"/>
      <c r="C35" s="1734"/>
      <c r="D35" s="1734"/>
      <c r="E35" s="1734"/>
      <c r="F35" s="1734"/>
      <c r="G35" s="1734"/>
      <c r="H35" s="1734"/>
      <c r="I35" s="1734"/>
      <c r="J35" s="1734"/>
      <c r="K35" s="1734"/>
      <c r="L35" s="1735"/>
      <c r="M35" s="1734"/>
      <c r="N35" s="1734"/>
      <c r="O35" s="1734"/>
      <c r="S35" s="2518" t="s">
        <v>465</v>
      </c>
      <c r="T35" s="2518"/>
      <c r="U35" s="1738"/>
      <c r="V35" s="2520" t="str">
        <f>IF(TITLE_NUMBER_PR_CHANGE="",IF(TITLE_NUMBER_PR="","",TITLE_NUMBER_PR),TITLE_NUMBER_PR_CHANGE)</f>
        <v>51/16</v>
      </c>
      <c r="W35" s="2520"/>
      <c r="X35" s="2520"/>
      <c r="Y35" s="2520"/>
      <c r="Z35" s="2520"/>
      <c r="AA35" s="2520"/>
      <c r="AB35" s="2520"/>
      <c r="AC35" s="687"/>
      <c r="AD35" s="2520" t="str">
        <f>IF(TITLE_NUMBER_PR_CHANGE="",IF(TITLE_NUMBER_PR="","",TITLE_NUMBER_PR),TITLE_NUMBER_PR_CHANGE)</f>
        <v>51/16</v>
      </c>
      <c r="AE35" s="2520"/>
      <c r="AF35" s="2520"/>
      <c r="AG35" s="2520"/>
      <c r="AH35" s="2520"/>
      <c r="AI35" s="2520"/>
      <c r="AJ35" s="2520"/>
      <c r="AK35" s="687"/>
      <c r="AL35" s="687"/>
      <c r="AM35" s="641"/>
      <c r="AN35" s="729"/>
      <c r="AO35" s="729"/>
      <c r="AP35" s="729"/>
      <c r="AQ35" s="729"/>
      <c r="AR35" s="729"/>
    </row>
    <row s="32230" customFormat="1" customHeight="1" ht="0">
      <c r="A36" s="1734"/>
      <c r="B36" s="1734"/>
      <c r="C36" s="1734"/>
      <c r="D36" s="1734"/>
      <c r="E36" s="1734"/>
      <c r="F36" s="1734"/>
      <c r="G36" s="1734"/>
      <c r="H36" s="1734"/>
      <c r="I36" s="1734"/>
      <c r="J36" s="1734"/>
      <c r="K36" s="1734"/>
      <c r="L36" s="1735"/>
      <c r="M36" s="1734"/>
      <c r="N36" s="1734"/>
      <c r="O36" s="1734"/>
      <c r="S36" s="684"/>
      <c r="T36" s="684"/>
      <c r="U36" s="1706"/>
      <c r="V36" s="687"/>
      <c r="W36" s="687"/>
      <c r="X36" s="687"/>
      <c r="Y36" s="687"/>
      <c r="Z36" s="687"/>
      <c r="AA36" s="687"/>
      <c r="AB36" s="687"/>
      <c r="AC36" s="639" t="s">
        <v>466</v>
      </c>
      <c r="AD36" s="687"/>
      <c r="AE36" s="687"/>
      <c r="AF36" s="687"/>
      <c r="AG36" s="687"/>
      <c r="AH36" s="687"/>
      <c r="AI36" s="687"/>
      <c r="AJ36" s="687"/>
      <c r="AK36" s="639" t="s">
        <v>466</v>
      </c>
      <c r="AN36" s="729"/>
      <c r="AO36" s="729"/>
      <c r="AP36" s="729"/>
      <c r="AQ36" s="729"/>
      <c r="AR36" s="729"/>
    </row>
    <row customHeight="1" ht="14.25">
      <c r="Q37" s="737"/>
      <c r="R37" s="737"/>
      <c r="S37" s="1641"/>
      <c r="T37" s="724"/>
      <c r="U37" s="1609"/>
      <c r="V37" s="2544"/>
      <c r="W37" s="2544"/>
      <c r="X37" s="2544"/>
      <c r="Y37" s="2544"/>
      <c r="Z37" s="2544"/>
      <c r="AA37" s="2544"/>
      <c r="AB37" s="2544"/>
      <c r="AC37" s="2544"/>
      <c r="AD37" s="2544"/>
      <c r="AE37" s="2544"/>
      <c r="AF37" s="2544"/>
      <c r="AG37" s="2544"/>
      <c r="AH37" s="2544"/>
      <c r="AI37" s="2544"/>
      <c r="AJ37" s="2544"/>
      <c r="AK37" s="2544"/>
    </row>
    <row customHeight="1" ht="14.25">
      <c r="Q38" s="737"/>
      <c r="R38" s="737"/>
      <c r="S38" s="2392" t="s">
        <v>341</v>
      </c>
      <c r="T38" s="2392"/>
      <c r="U38" s="2392"/>
      <c r="V38" s="2392"/>
      <c r="W38" s="2392"/>
      <c r="X38" s="2392"/>
      <c r="Y38" s="2392"/>
      <c r="Z38" s="2392"/>
      <c r="AA38" s="2392"/>
      <c r="AB38" s="2392"/>
      <c r="AC38" s="2392"/>
      <c r="AD38" s="2392"/>
      <c r="AE38" s="2392"/>
      <c r="AF38" s="2392"/>
      <c r="AG38" s="2392"/>
      <c r="AH38" s="2392"/>
      <c r="AI38" s="2392"/>
      <c r="AJ38" s="2392"/>
      <c r="AK38" s="2392"/>
      <c r="AL38" s="2392"/>
      <c r="AM38" s="2392" t="s">
        <v>342</v>
      </c>
    </row>
    <row customHeight="1" ht="14.25">
      <c r="Q39" s="737"/>
      <c r="R39" s="737"/>
      <c r="S39" s="2545" t="s">
        <v>87</v>
      </c>
      <c r="T39" s="2482" t="s">
        <v>467</v>
      </c>
      <c r="U39" s="662"/>
      <c r="V39" s="2546" t="s">
        <v>468</v>
      </c>
      <c r="W39" s="2547"/>
      <c r="X39" s="2547"/>
      <c r="Y39" s="2547"/>
      <c r="Z39" s="2547"/>
      <c r="AA39" s="2547"/>
      <c r="AB39" s="2548"/>
      <c r="AC39" s="2549" t="s">
        <v>469</v>
      </c>
      <c r="AD39" s="2546" t="s">
        <v>468</v>
      </c>
      <c r="AE39" s="2547"/>
      <c r="AF39" s="2547"/>
      <c r="AG39" s="2547"/>
      <c r="AH39" s="2547"/>
      <c r="AI39" s="2547"/>
      <c r="AJ39" s="2548"/>
      <c r="AK39" s="2549" t="s">
        <v>470</v>
      </c>
      <c r="AL39" s="2552" t="s">
        <v>471</v>
      </c>
      <c r="AM39" s="2392"/>
    </row>
    <row customHeight="1" ht="33.75">
      <c r="Q40" s="737"/>
      <c r="R40" s="737"/>
      <c r="S40" s="2545"/>
      <c r="T40" s="2482"/>
      <c r="U40" s="1393"/>
      <c r="V40" s="2555" t="s">
        <v>472</v>
      </c>
      <c r="W40" s="2536"/>
      <c r="X40" s="2538" t="s">
        <v>474</v>
      </c>
      <c r="Y40" s="2540"/>
      <c r="Z40" s="2538" t="s">
        <v>475</v>
      </c>
      <c r="AA40" s="2539"/>
      <c r="AB40" s="2540"/>
      <c r="AC40" s="2550"/>
      <c r="AD40" s="2555" t="s">
        <v>488</v>
      </c>
      <c r="AE40" s="2536"/>
      <c r="AF40" s="2538" t="s">
        <v>474</v>
      </c>
      <c r="AG40" s="2540"/>
      <c r="AH40" s="2538" t="s">
        <v>475</v>
      </c>
      <c r="AI40" s="2539"/>
      <c r="AJ40" s="2540"/>
      <c r="AK40" s="2550"/>
      <c r="AL40" s="2553"/>
      <c r="AM40" s="2392"/>
    </row>
    <row customHeight="1" ht="33.75">
      <c r="A41" s="1736"/>
      <c r="B41" s="1736" t="s">
        <v>143</v>
      </c>
      <c r="C41" s="1736" t="s">
        <v>144</v>
      </c>
      <c r="D41" s="1736" t="s">
        <v>145</v>
      </c>
      <c r="E41" s="1730" t="s">
        <v>476</v>
      </c>
      <c r="F41" s="1730" t="s">
        <v>477</v>
      </c>
      <c r="G41" s="1730" t="s">
        <v>478</v>
      </c>
      <c r="H41" s="1730" t="s">
        <v>479</v>
      </c>
      <c r="I41" s="1730" t="s">
        <v>480</v>
      </c>
      <c r="J41" s="1730" t="s">
        <v>481</v>
      </c>
      <c r="K41" s="1730" t="s">
        <v>482</v>
      </c>
      <c r="L41" s="1730" t="s">
        <v>457</v>
      </c>
      <c r="Q41" s="737"/>
      <c r="R41" s="737"/>
      <c r="S41" s="2545"/>
      <c r="T41" s="2482"/>
      <c r="U41" s="663"/>
      <c r="V41" s="2556"/>
      <c r="W41" s="2537"/>
      <c r="X41" s="1587" t="s">
        <v>483</v>
      </c>
      <c r="Y41" s="1587" t="s">
        <v>484</v>
      </c>
      <c r="Z41" s="1704" t="s">
        <v>485</v>
      </c>
      <c r="AA41" s="2541" t="s">
        <v>486</v>
      </c>
      <c r="AB41" s="2542"/>
      <c r="AC41" s="2551"/>
      <c r="AD41" s="2556"/>
      <c r="AE41" s="2537"/>
      <c r="AF41" s="1587" t="s">
        <v>483</v>
      </c>
      <c r="AG41" s="1587" t="s">
        <v>484</v>
      </c>
      <c r="AH41" s="1704" t="s">
        <v>485</v>
      </c>
      <c r="AI41" s="2541" t="s">
        <v>486</v>
      </c>
      <c r="AJ41" s="2542"/>
      <c r="AK41" s="2551"/>
      <c r="AL41" s="2554"/>
      <c r="AM41" s="2392"/>
    </row>
    <row s="32049" customFormat="1" customHeight="1" ht="11.25" hidden="1">
      <c r="A42" s="1736"/>
      <c r="B42" s="1736"/>
      <c r="C42" s="1736"/>
      <c r="D42" s="1736"/>
      <c r="E42" s="1736"/>
      <c r="F42" s="1736"/>
      <c r="G42" s="1736"/>
      <c r="H42" s="1736"/>
      <c r="I42" s="1736"/>
      <c r="J42" s="1736"/>
      <c r="K42" s="1736"/>
      <c r="L42" s="1730"/>
      <c r="M42" s="1728"/>
      <c r="N42" s="1728"/>
      <c r="O42" s="1728"/>
      <c r="P42" s="1611"/>
      <c r="Q42" s="1612"/>
      <c r="R42" s="1619">
        <v>1</v>
      </c>
      <c r="S42" s="1643" t="s">
        <v>118</v>
      </c>
      <c r="T42" s="1620" t="s">
        <v>102</v>
      </c>
      <c r="U42" s="1610" t="str">
        <f>OFFSET(U42,0,-1)</f>
        <v>2</v>
      </c>
      <c r="V42" s="1701">
        <f>OFFSET(V42,0,-1)+1</f>
        <v>3</v>
      </c>
      <c r="W42" s="1701"/>
      <c r="X42" s="1701">
        <f>OFFSET(X42,0,-1)+1</f>
        <v>1</v>
      </c>
      <c r="Y42" s="1701">
        <f>OFFSET(Y42,0,-1)+1</f>
        <v>2</v>
      </c>
      <c r="Z42" s="1701">
        <f>OFFSET(Z42,0,-1)+1</f>
        <v>3</v>
      </c>
      <c r="AA42" s="2543">
        <f>OFFSET(AA42,0,-1)+1</f>
        <v>4</v>
      </c>
      <c r="AB42" s="2543"/>
      <c r="AC42" s="1701">
        <f>OFFSET(AC42,0,-2)+1</f>
        <v>5</v>
      </c>
      <c r="AD42" s="1701">
        <f>OFFSET(AD42,0,-1)+1</f>
        <v>6</v>
      </c>
      <c r="AE42" s="1701"/>
      <c r="AF42" s="1701">
        <f>OFFSET(AF42,0,-1)+1</f>
        <v>1</v>
      </c>
      <c r="AG42" s="1701">
        <f>OFFSET(AG42,0,-1)+1</f>
        <v>2</v>
      </c>
      <c r="AH42" s="1701">
        <f>OFFSET(AH42,0,-1)+1</f>
        <v>3</v>
      </c>
      <c r="AI42" s="2543">
        <f>OFFSET(AI42,0,-1)+1</f>
        <v>4</v>
      </c>
      <c r="AJ42" s="2543"/>
      <c r="AK42" s="1701">
        <f>OFFSET(AK42,0,-2)+1</f>
        <v>5</v>
      </c>
      <c r="AL42" s="1610">
        <f>OFFSET(AL42,0,-1)</f>
        <v>5</v>
      </c>
      <c r="AM42" s="1701">
        <f>OFFSET(AM42,0,-1)+1</f>
        <v>6</v>
      </c>
      <c r="AN42" s="872"/>
      <c r="AO42" s="872"/>
      <c r="AP42" s="872"/>
      <c r="AQ42" s="872"/>
      <c r="AR42" s="872"/>
    </row>
    <row customHeight="1" ht="21">
      <c r="A43" s="1729" t="s">
        <v>192</v>
      </c>
      <c r="B43" s="1729"/>
      <c r="C43" s="1729"/>
      <c r="D43" s="1729"/>
      <c r="E43" s="2527">
        <v>1</v>
      </c>
      <c r="F43" s="1729"/>
      <c r="G43" s="1729"/>
      <c r="H43" s="1729"/>
      <c r="I43" s="1729"/>
      <c r="J43" s="1729"/>
      <c r="K43" s="1729"/>
      <c r="L43" s="1730"/>
      <c r="M43" s="1731"/>
      <c r="N43" s="1731"/>
      <c r="O43" s="1731"/>
      <c r="P43" s="722"/>
      <c r="Q43" s="721"/>
      <c r="R43" s="716"/>
      <c r="S43" s="1702">
        <f>INDEX(PT_DIFFERENTIATION_NUM_NTAR,MATCH(A43,PT_DIFFERENTIATION_NTAR_ID,0))</f>
        <v>0</v>
      </c>
      <c r="T43" s="659" t="s">
        <v>131</v>
      </c>
      <c r="U43" s="661"/>
      <c r="V43" s="2521"/>
      <c r="W43" s="2522"/>
      <c r="X43" s="2522"/>
      <c r="Y43" s="2522"/>
      <c r="Z43" s="2522"/>
      <c r="AA43" s="2522"/>
      <c r="AB43" s="2522"/>
      <c r="AC43" s="2523"/>
      <c r="AD43" s="2521" t="str">
        <f>INDEX(PT_DIFFERENTIATION_NTAR,MATCH(A43,PT_DIFFERENTIATION_NTAR_ID,0))</f>
        <v/>
      </c>
      <c r="AE43" s="2522"/>
      <c r="AF43" s="2522"/>
      <c r="AG43" s="2522"/>
      <c r="AH43" s="2522"/>
      <c r="AI43" s="2522"/>
      <c r="AJ43" s="2522"/>
      <c r="AK43" s="2522"/>
      <c r="AL43" s="2523"/>
      <c r="AM43" s="16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861"/>
      <c r="AP43" s="861" t="str">
        <f>IF(T43="","",T43)</f>
        <v>Наименование тарифа</v>
      </c>
      <c r="AQ43" s="861"/>
      <c r="AR43" s="861"/>
    </row>
    <row customHeight="1" ht="21">
      <c r="A44" s="1729" t="s">
        <v>192</v>
      </c>
      <c r="B44" s="1729" t="s">
        <v>193</v>
      </c>
      <c r="C44" s="1729"/>
      <c r="D44" s="1729"/>
      <c r="E44" s="2528"/>
      <c r="F44" s="2527">
        <v>1</v>
      </c>
      <c r="G44" s="1729"/>
      <c r="H44" s="1729"/>
      <c r="I44" s="1729"/>
      <c r="J44" s="1729"/>
      <c r="K44" s="1729"/>
      <c r="L44" s="1730"/>
      <c r="M44" s="1731"/>
      <c r="N44" s="1731"/>
      <c r="O44" s="1731"/>
      <c r="P44" s="1698"/>
      <c r="Q44" s="713"/>
      <c r="R44" s="714"/>
      <c r="S44" s="1702" t="str">
        <f>INDEX(PT_DIFFERENTIATION_NUM_TER,MATCH(B44,PT_DIFFERENTIATION_TER_ID,0))</f>
        <v>.</v>
      </c>
      <c r="T44" s="669" t="s">
        <v>438</v>
      </c>
      <c r="U44" s="661"/>
      <c r="V44" s="2521"/>
      <c r="W44" s="2522"/>
      <c r="X44" s="2522"/>
      <c r="Y44" s="2522"/>
      <c r="Z44" s="2522"/>
      <c r="AA44" s="2522"/>
      <c r="AB44" s="2522"/>
      <c r="AC44" s="2523"/>
      <c r="AD44" s="2521" t="str">
        <f>INDEX(PT_DIFFERENTIATION_TER,MATCH(B44,PT_DIFFERENTIATION_TER_ID,0))</f>
        <v/>
      </c>
      <c r="AE44" s="2522"/>
      <c r="AF44" s="2522"/>
      <c r="AG44" s="2522"/>
      <c r="AH44" s="2522"/>
      <c r="AI44" s="2522"/>
      <c r="AJ44" s="2522"/>
      <c r="AK44" s="2522"/>
      <c r="AL44" s="2523"/>
      <c r="AM44" s="1623" t="s">
        <v>439</v>
      </c>
      <c r="AO44" s="861"/>
      <c r="AP44" s="861" t="str">
        <f>IF(T44="","",T44)</f>
        <v>Территория действия тарифа</v>
      </c>
      <c r="AQ44" s="861"/>
      <c r="AR44" s="861"/>
    </row>
    <row customHeight="1" ht="23.25">
      <c r="A45" s="1729" t="s">
        <v>192</v>
      </c>
      <c r="B45" s="1729" t="s">
        <v>193</v>
      </c>
      <c r="C45" s="1729" t="s">
        <v>194</v>
      </c>
      <c r="D45" s="1729"/>
      <c r="E45" s="2528"/>
      <c r="F45" s="2528"/>
      <c r="G45" s="2527">
        <v>1</v>
      </c>
      <c r="H45" s="1729"/>
      <c r="I45" s="1729"/>
      <c r="J45" s="1729"/>
      <c r="K45" s="1729"/>
      <c r="L45" s="1730"/>
      <c r="M45" s="1731"/>
      <c r="N45" s="1731"/>
      <c r="O45" s="1731"/>
      <c r="P45" s="715"/>
      <c r="Q45" s="713"/>
      <c r="R45" s="714"/>
      <c r="S45" s="1702" t="str">
        <f>INDEX(PT_DIFFERENTIATION_NUM_CS,MATCH(C45,PT_DIFFERENTIATION_CS_ID,0))</f>
        <v>..</v>
      </c>
      <c r="T45" s="670" t="s">
        <v>440</v>
      </c>
      <c r="U45" s="661"/>
      <c r="V45" s="2521"/>
      <c r="W45" s="2522"/>
      <c r="X45" s="2522"/>
      <c r="Y45" s="2522"/>
      <c r="Z45" s="2522"/>
      <c r="AA45" s="2522"/>
      <c r="AB45" s="2522"/>
      <c r="AC45" s="2523"/>
      <c r="AD45" s="2521" t="str">
        <f>INDEX(PT_DIFFERENTIATION_CS,MATCH(C45,PT_DIFFERENTIATION_CS_ID,0))</f>
        <v/>
      </c>
      <c r="AE45" s="2522"/>
      <c r="AF45" s="2522"/>
      <c r="AG45" s="2522"/>
      <c r="AH45" s="2522"/>
      <c r="AI45" s="2522"/>
      <c r="AJ45" s="2522"/>
      <c r="AK45" s="2522"/>
      <c r="AL45" s="2523"/>
      <c r="AM45" s="1623" t="s">
        <v>441</v>
      </c>
      <c r="AO45" s="861"/>
      <c r="AP45" s="861" t="str">
        <f>IF(T45="","",T45)</f>
        <v>Наименование системы теплоснабжения </v>
      </c>
      <c r="AQ45" s="861"/>
      <c r="AR45" s="861"/>
    </row>
    <row customHeight="1" ht="21">
      <c r="A46" s="1729" t="s">
        <v>192</v>
      </c>
      <c r="B46" s="1729" t="s">
        <v>193</v>
      </c>
      <c r="C46" s="1729" t="s">
        <v>194</v>
      </c>
      <c r="D46" s="1729" t="s">
        <v>195</v>
      </c>
      <c r="E46" s="2528"/>
      <c r="F46" s="2528"/>
      <c r="G46" s="2528"/>
      <c r="H46" s="2527">
        <v>1</v>
      </c>
      <c r="I46" s="1729"/>
      <c r="J46" s="1729"/>
      <c r="K46" s="1729"/>
      <c r="L46" s="1730"/>
      <c r="M46" s="1731"/>
      <c r="N46" s="1731"/>
      <c r="O46" s="1731"/>
      <c r="P46" s="715"/>
      <c r="Q46" s="713"/>
      <c r="R46" s="714"/>
      <c r="S46" s="1702" t="str">
        <f>INDEX(PT_DIFFERENTIATION_NUM_IST_TE,MATCH(D46,PT_DIFFERENTIATION_IST_TE_ID,0))</f>
        <v>...</v>
      </c>
      <c r="T46" s="671" t="s">
        <v>442</v>
      </c>
      <c r="U46" s="661"/>
      <c r="V46" s="2521"/>
      <c r="W46" s="2522"/>
      <c r="X46" s="2522"/>
      <c r="Y46" s="2522"/>
      <c r="Z46" s="2522"/>
      <c r="AA46" s="2522"/>
      <c r="AB46" s="2522"/>
      <c r="AC46" s="2523"/>
      <c r="AD46" s="2521" t="str">
        <f>INDEX(PT_DIFFERENTIATION_IST_TE,MATCH(D46,PT_DIFFERENTIATION_IST_TE_ID,0))</f>
        <v/>
      </c>
      <c r="AE46" s="2522"/>
      <c r="AF46" s="2522"/>
      <c r="AG46" s="2522"/>
      <c r="AH46" s="2522"/>
      <c r="AI46" s="2522"/>
      <c r="AJ46" s="2522"/>
      <c r="AK46" s="2522"/>
      <c r="AL46" s="2523"/>
      <c r="AM46" s="1623" t="s">
        <v>443</v>
      </c>
      <c r="AO46" s="861"/>
      <c r="AP46" s="861" t="str">
        <f>IF(T46="","",T46)</f>
        <v>Источник тепловой энергии  </v>
      </c>
      <c r="AQ46" s="861"/>
      <c r="AR46" s="861"/>
    </row>
    <row s="32289" customFormat="1" customHeight="1" ht="0">
      <c r="A47" s="1709" t="s">
        <v>192</v>
      </c>
      <c r="B47" s="1709" t="s">
        <v>193</v>
      </c>
      <c r="C47" s="1709" t="s">
        <v>194</v>
      </c>
      <c r="D47" s="1709" t="s">
        <v>195</v>
      </c>
      <c r="E47" s="2528"/>
      <c r="F47" s="2528"/>
      <c r="G47" s="2528"/>
      <c r="H47" s="2528"/>
      <c r="I47" s="2529" t="str">
        <f>S46&amp;".1"</f>
        <v>....1</v>
      </c>
      <c r="J47" s="1709"/>
      <c r="K47" s="1709"/>
      <c r="L47" s="1712" t="s">
        <v>444</v>
      </c>
      <c r="M47" s="871"/>
      <c r="N47" s="871"/>
      <c r="O47" s="871"/>
      <c r="P47" s="2531">
        <v>1</v>
      </c>
      <c r="Q47" s="1697"/>
      <c r="R47" s="717"/>
      <c r="S47" s="1404"/>
      <c r="T47" s="1749"/>
      <c r="U47" s="1750"/>
      <c r="V47" s="2569"/>
      <c r="W47" s="2570"/>
      <c r="X47" s="2570"/>
      <c r="Y47" s="2570"/>
      <c r="Z47" s="2570"/>
      <c r="AA47" s="2570"/>
      <c r="AB47" s="2570"/>
      <c r="AC47" s="2571"/>
      <c r="AD47" s="2569"/>
      <c r="AE47" s="2570"/>
      <c r="AF47" s="2570"/>
      <c r="AG47" s="2570"/>
      <c r="AH47" s="2570"/>
      <c r="AI47" s="2570"/>
      <c r="AJ47" s="2570"/>
      <c r="AK47" s="2570"/>
      <c r="AL47" s="2571"/>
      <c r="AM47" s="1751"/>
      <c r="AO47" s="861"/>
      <c r="AP47" s="861" t="str">
        <f>IF(T47="","",T47)</f>
        <v/>
      </c>
      <c r="AQ47" s="861"/>
      <c r="AR47" s="861"/>
    </row>
    <row customHeight="1" ht="21">
      <c r="A48" s="1729" t="s">
        <v>192</v>
      </c>
      <c r="B48" s="1729" t="s">
        <v>193</v>
      </c>
      <c r="C48" s="1729" t="s">
        <v>194</v>
      </c>
      <c r="D48" s="1729" t="s">
        <v>195</v>
      </c>
      <c r="E48" s="2528"/>
      <c r="F48" s="2528"/>
      <c r="G48" s="2528"/>
      <c r="H48" s="2528"/>
      <c r="I48" s="2530"/>
      <c r="J48" s="2529" t="str">
        <f>S46&amp;".1"</f>
        <v>....1</v>
      </c>
      <c r="K48" s="1729"/>
      <c r="L48" s="1730" t="s">
        <v>447</v>
      </c>
      <c r="P48" s="2531"/>
      <c r="Q48" s="2531">
        <v>1</v>
      </c>
      <c r="R48" s="718"/>
      <c r="S48" s="1702" t="str">
        <f>$J48</f>
        <v>....1</v>
      </c>
      <c r="T48" s="647" t="s">
        <v>448</v>
      </c>
      <c r="U48" s="661"/>
      <c r="V48" s="2515"/>
      <c r="W48" s="2516"/>
      <c r="X48" s="2516"/>
      <c r="Y48" s="2516"/>
      <c r="Z48" s="2516"/>
      <c r="AA48" s="2516"/>
      <c r="AB48" s="2516"/>
      <c r="AC48" s="2517"/>
      <c r="AD48" s="2515"/>
      <c r="AE48" s="2516"/>
      <c r="AF48" s="2516"/>
      <c r="AG48" s="2516"/>
      <c r="AH48" s="2516"/>
      <c r="AI48" s="2516"/>
      <c r="AJ48" s="2516"/>
      <c r="AK48" s="2516"/>
      <c r="AL48" s="2517"/>
      <c r="AM48" s="1623" t="s">
        <v>449</v>
      </c>
      <c r="AO48" s="861"/>
      <c r="AP48" s="861" t="str">
        <f>IF(T48="","",T48)</f>
        <v>Группа потребителей</v>
      </c>
      <c r="AQ48" s="861"/>
      <c r="AR48" s="861"/>
    </row>
    <row customHeight="1" ht="21">
      <c r="A49" s="1729" t="s">
        <v>192</v>
      </c>
      <c r="B49" s="1729" t="s">
        <v>193</v>
      </c>
      <c r="C49" s="1729" t="s">
        <v>194</v>
      </c>
      <c r="D49" s="1729" t="s">
        <v>195</v>
      </c>
      <c r="E49" s="2528"/>
      <c r="F49" s="2528"/>
      <c r="G49" s="2528"/>
      <c r="H49" s="2528"/>
      <c r="I49" s="2530"/>
      <c r="J49" s="2530"/>
      <c r="K49" s="2529" t="str">
        <f>J48&amp;".1"</f>
        <v>....1.1</v>
      </c>
      <c r="L49" s="1730" t="s">
        <v>450</v>
      </c>
      <c r="P49" s="2531"/>
      <c r="Q49" s="2531"/>
      <c r="R49" s="718">
        <v>1</v>
      </c>
      <c r="S49" s="1702" t="str">
        <f>$K49</f>
        <v>....1.1</v>
      </c>
      <c r="T49" s="1713"/>
      <c r="U49" s="661"/>
      <c r="V49" s="1112"/>
      <c r="W49" s="686"/>
      <c r="X49" s="1112"/>
      <c r="Y49" s="1622"/>
      <c r="Z49" s="2532"/>
      <c r="AA49" s="2402" t="s">
        <v>66</v>
      </c>
      <c r="AB49" s="2532"/>
      <c r="AC49" s="2402" t="s">
        <v>66</v>
      </c>
      <c r="AD49" s="1112"/>
      <c r="AE49" s="686"/>
      <c r="AF49" s="1112"/>
      <c r="AG49" s="1622"/>
      <c r="AH49" s="2532"/>
      <c r="AI49" s="2402" t="s">
        <v>66</v>
      </c>
      <c r="AJ49" s="2534"/>
      <c r="AK49" s="2402" t="s">
        <v>66</v>
      </c>
      <c r="AL49" s="1714"/>
      <c r="AM49" s="2557" t="s">
        <v>489</v>
      </c>
      <c r="AN49" s="872">
        <f>STRCHECKDATE(V50:AL50)</f>
      </c>
      <c r="AO49" s="861"/>
      <c r="AP49" s="861" t="str">
        <f>IF(T49="","",T49)</f>
        <v/>
      </c>
      <c r="AQ49" s="861"/>
      <c r="AR49" s="861"/>
    </row>
    <row customHeight="1" ht="0">
      <c r="A50" s="1729" t="s">
        <v>192</v>
      </c>
      <c r="B50" s="1729" t="s">
        <v>193</v>
      </c>
      <c r="C50" s="1729" t="s">
        <v>194</v>
      </c>
      <c r="D50" s="1729" t="s">
        <v>195</v>
      </c>
      <c r="E50" s="2528"/>
      <c r="F50" s="2528"/>
      <c r="G50" s="2528"/>
      <c r="H50" s="2528"/>
      <c r="I50" s="2530"/>
      <c r="J50" s="2530"/>
      <c r="K50" s="2529"/>
      <c r="L50" s="1730"/>
      <c r="P50" s="2531"/>
      <c r="Q50" s="2531"/>
      <c r="R50" s="718"/>
      <c r="S50" s="1708"/>
      <c r="T50" s="661"/>
      <c r="U50" s="661"/>
      <c r="V50" s="686"/>
      <c r="W50" s="686"/>
      <c r="X50" s="686"/>
      <c r="Y50" s="689" t="str">
        <f>Z49&amp;"-"&amp;AB49</f>
        <v>-</v>
      </c>
      <c r="Z50" s="2533"/>
      <c r="AA50" s="2402"/>
      <c r="AB50" s="2533"/>
      <c r="AC50" s="2402"/>
      <c r="AD50" s="686"/>
      <c r="AE50" s="686"/>
      <c r="AF50" s="686"/>
      <c r="AG50" s="689" t="str">
        <f>AH49&amp;"-"&amp;AJ49</f>
        <v>-</v>
      </c>
      <c r="AH50" s="2533"/>
      <c r="AI50" s="2402"/>
      <c r="AJ50" s="2535"/>
      <c r="AK50" s="2402"/>
      <c r="AL50" s="1715"/>
      <c r="AM50" s="2558"/>
      <c r="AO50" s="861"/>
      <c r="AP50" s="861" t="str">
        <f>IF(T50="","",T50)</f>
        <v/>
      </c>
      <c r="AQ50" s="861"/>
      <c r="AR50" s="861"/>
    </row>
    <row customHeight="1" ht="11.25">
      <c r="A51" s="1729" t="s">
        <v>192</v>
      </c>
      <c r="B51" s="1729" t="s">
        <v>193</v>
      </c>
      <c r="C51" s="1729" t="s">
        <v>194</v>
      </c>
      <c r="D51" s="1729" t="s">
        <v>195</v>
      </c>
      <c r="E51" s="2528"/>
      <c r="F51" s="2528"/>
      <c r="G51" s="2528"/>
      <c r="H51" s="2528"/>
      <c r="I51" s="2530"/>
      <c r="J51" s="2529"/>
      <c r="K51" s="1729"/>
      <c r="L51" s="1730"/>
      <c r="P51" s="2531"/>
      <c r="Q51" s="2531"/>
      <c r="R51" s="717"/>
      <c r="S51" s="1644"/>
      <c r="T51" s="648" t="s">
        <v>452</v>
      </c>
      <c r="U51" s="728"/>
      <c r="V51" s="728"/>
      <c r="W51" s="728"/>
      <c r="X51" s="728"/>
      <c r="Y51" s="728"/>
      <c r="Z51" s="728"/>
      <c r="AA51" s="728"/>
      <c r="AB51" s="728"/>
      <c r="AC51" s="728"/>
      <c r="AD51" s="728"/>
      <c r="AE51" s="728"/>
      <c r="AF51" s="728"/>
      <c r="AG51" s="728"/>
      <c r="AH51" s="728"/>
      <c r="AI51" s="728"/>
      <c r="AJ51" s="728"/>
      <c r="AK51" s="728"/>
      <c r="AL51" s="685"/>
      <c r="AM51" s="2559"/>
      <c r="AO51" s="861"/>
      <c r="AP51" s="861" t="str">
        <f>IF(T51="","",T51)</f>
        <v>Добавить вид теплоносителя (параметры теплоносителя)</v>
      </c>
      <c r="AQ51" s="861"/>
      <c r="AR51" s="861"/>
    </row>
    <row customHeight="1" ht="11.25">
      <c r="A52" s="1729" t="s">
        <v>192</v>
      </c>
      <c r="B52" s="1729" t="s">
        <v>193</v>
      </c>
      <c r="C52" s="1729" t="s">
        <v>194</v>
      </c>
      <c r="D52" s="1729" t="s">
        <v>195</v>
      </c>
      <c r="E52" s="2528"/>
      <c r="F52" s="2528"/>
      <c r="G52" s="2528"/>
      <c r="H52" s="2528"/>
      <c r="I52" s="2529"/>
      <c r="J52" s="1729"/>
      <c r="K52" s="1729"/>
      <c r="L52" s="1730"/>
      <c r="P52" s="2531"/>
      <c r="Q52" s="1697"/>
      <c r="R52" s="717"/>
      <c r="S52" s="1644"/>
      <c r="T52" s="726" t="s">
        <v>453</v>
      </c>
      <c r="U52" s="728"/>
      <c r="V52" s="728"/>
      <c r="W52" s="728"/>
      <c r="X52" s="728"/>
      <c r="Y52" s="728"/>
      <c r="Z52" s="728"/>
      <c r="AA52" s="728"/>
      <c r="AB52" s="728"/>
      <c r="AC52" s="727"/>
      <c r="AD52" s="728"/>
      <c r="AE52" s="728"/>
      <c r="AF52" s="728"/>
      <c r="AG52" s="728"/>
      <c r="AH52" s="728"/>
      <c r="AI52" s="728"/>
      <c r="AJ52" s="728"/>
      <c r="AK52" s="727"/>
      <c r="AL52" s="728"/>
      <c r="AM52" s="664"/>
      <c r="AO52" s="861"/>
      <c r="AP52" s="861" t="str">
        <f>IF(T52="","",T52)</f>
        <v>Добавить группу потребителей</v>
      </c>
      <c r="AQ52" s="861"/>
      <c r="AR52" s="861"/>
    </row>
    <row customHeight="1" ht="0">
      <c r="A53" s="1729" t="s">
        <v>192</v>
      </c>
      <c r="B53" s="1729" t="s">
        <v>193</v>
      </c>
      <c r="C53" s="1729" t="s">
        <v>194</v>
      </c>
      <c r="D53" s="1729" t="s">
        <v>195</v>
      </c>
      <c r="E53" s="2528"/>
      <c r="F53" s="2528"/>
      <c r="G53" s="2528"/>
      <c r="H53" s="2527"/>
      <c r="I53" s="1729"/>
      <c r="J53" s="1729"/>
      <c r="K53" s="1729"/>
      <c r="L53" s="1730"/>
      <c r="M53" s="1731"/>
      <c r="N53" s="1731"/>
      <c r="O53" s="898"/>
      <c r="P53" s="721"/>
      <c r="Q53" s="736"/>
      <c r="R53" s="716"/>
      <c r="S53" s="1752"/>
      <c r="T53" s="1753"/>
      <c r="U53" s="1754"/>
      <c r="V53" s="1754"/>
      <c r="W53" s="1754"/>
      <c r="X53" s="1754"/>
      <c r="Y53" s="1754"/>
      <c r="Z53" s="1754"/>
      <c r="AA53" s="1754"/>
      <c r="AB53" s="1754"/>
      <c r="AC53" s="1754"/>
      <c r="AD53" s="1754"/>
      <c r="AE53" s="1754"/>
      <c r="AF53" s="1754"/>
      <c r="AG53" s="1754"/>
      <c r="AH53" s="1754"/>
      <c r="AI53" s="1754"/>
      <c r="AJ53" s="1754"/>
      <c r="AK53" s="1754"/>
      <c r="AL53" s="1754"/>
      <c r="AM53" s="1755"/>
      <c r="AO53" s="861"/>
      <c r="AP53" s="861" t="str">
        <f>IF(T53="","",T53)</f>
        <v/>
      </c>
      <c r="AQ53" s="861"/>
      <c r="AR53" s="861"/>
    </row>
    <row s="32198" customFormat="1" customHeight="1" ht="0">
      <c r="A54" s="1709" t="s">
        <v>192</v>
      </c>
      <c r="B54" s="1709" t="s">
        <v>193</v>
      </c>
      <c r="C54" s="1709" t="s">
        <v>194</v>
      </c>
      <c r="D54" s="1680"/>
      <c r="E54" s="2528"/>
      <c r="F54" s="2528"/>
      <c r="G54" s="2527"/>
      <c r="H54" s="1680"/>
      <c r="I54" s="1680"/>
      <c r="J54" s="1680"/>
      <c r="K54" s="1680"/>
      <c r="L54" s="1705"/>
      <c r="M54" s="1681"/>
      <c r="N54" s="1681"/>
      <c r="P54" s="1682"/>
      <c r="Q54" s="1683"/>
      <c r="R54" s="1682"/>
      <c r="S54" s="1688"/>
      <c r="T54" s="1691" t="s">
        <v>455</v>
      </c>
      <c r="U54" s="1690"/>
      <c r="V54" s="1690"/>
      <c r="W54" s="1690"/>
      <c r="X54" s="1690"/>
      <c r="Y54" s="1690"/>
      <c r="Z54" s="1690"/>
      <c r="AA54" s="1690"/>
      <c r="AB54" s="1690"/>
      <c r="AC54" s="1690"/>
      <c r="AD54" s="1690"/>
      <c r="AE54" s="1690"/>
      <c r="AF54" s="1690"/>
      <c r="AG54" s="1690"/>
      <c r="AH54" s="1690"/>
      <c r="AI54" s="1690"/>
      <c r="AJ54" s="1690"/>
      <c r="AK54" s="1690"/>
      <c r="AL54" s="1690"/>
      <c r="AM54" s="1690"/>
      <c r="AO54" s="1150"/>
      <c r="AP54" s="1150" t="str">
        <f>IF(T54="","",T54)</f>
        <v>Добавить источник для дифференциации</v>
      </c>
      <c r="AQ54" s="1150"/>
      <c r="AR54" s="1150"/>
    </row>
    <row s="32198" customFormat="1" customHeight="1" ht="0">
      <c r="A55" s="1709" t="s">
        <v>192</v>
      </c>
      <c r="B55" s="1709" t="s">
        <v>193</v>
      </c>
      <c r="C55" s="1680"/>
      <c r="D55" s="1680"/>
      <c r="E55" s="2528"/>
      <c r="F55" s="2527"/>
      <c r="G55" s="1680"/>
      <c r="H55" s="1680"/>
      <c r="I55" s="1680"/>
      <c r="J55" s="1680"/>
      <c r="K55" s="1680"/>
      <c r="L55" s="1705"/>
      <c r="M55" s="1687"/>
      <c r="N55" s="1687"/>
      <c r="P55" s="1682"/>
      <c r="Q55" s="1683"/>
      <c r="R55" s="1682"/>
      <c r="S55" s="1688"/>
      <c r="T55" s="1691" t="s">
        <v>262</v>
      </c>
      <c r="U55" s="1690"/>
      <c r="V55" s="1690"/>
      <c r="W55" s="1690"/>
      <c r="X55" s="1690"/>
      <c r="Y55" s="1690"/>
      <c r="Z55" s="1690"/>
      <c r="AA55" s="1690"/>
      <c r="AB55" s="1690"/>
      <c r="AC55" s="1690"/>
      <c r="AD55" s="1690"/>
      <c r="AE55" s="1690"/>
      <c r="AF55" s="1690"/>
      <c r="AG55" s="1690"/>
      <c r="AH55" s="1690"/>
      <c r="AI55" s="1690"/>
      <c r="AJ55" s="1690"/>
      <c r="AK55" s="1690"/>
      <c r="AL55" s="1690"/>
      <c r="AM55" s="1690"/>
      <c r="AO55" s="1150"/>
      <c r="AP55" s="1150" t="str">
        <f>IF(T55="","",T55)</f>
        <v>Добавить централизованную систему для дифференциации</v>
      </c>
      <c r="AQ55" s="1150"/>
      <c r="AR55" s="1150"/>
    </row>
    <row s="32289" customFormat="1" customHeight="1" ht="0">
      <c r="A56" s="1709" t="s">
        <v>192</v>
      </c>
      <c r="B56" s="1709"/>
      <c r="C56" s="1709"/>
      <c r="D56" s="1709"/>
      <c r="E56" s="2527"/>
      <c r="F56" s="1709"/>
      <c r="G56" s="1709"/>
      <c r="H56" s="1709"/>
      <c r="I56" s="1709"/>
      <c r="J56" s="1709"/>
      <c r="K56" s="1709"/>
      <c r="L56" s="1712"/>
      <c r="M56" s="1687"/>
      <c r="N56" s="1687"/>
      <c r="O56" s="879"/>
      <c r="P56" s="741"/>
      <c r="Q56" s="1710"/>
      <c r="R56" s="741"/>
      <c r="S56" s="1688"/>
      <c r="T56" s="1691" t="s">
        <v>270</v>
      </c>
      <c r="U56" s="1690"/>
      <c r="V56" s="1690"/>
      <c r="W56" s="1690"/>
      <c r="X56" s="1690"/>
      <c r="Y56" s="1690"/>
      <c r="Z56" s="1690"/>
      <c r="AA56" s="1690"/>
      <c r="AB56" s="1690"/>
      <c r="AC56" s="1690"/>
      <c r="AD56" s="1690"/>
      <c r="AE56" s="1690"/>
      <c r="AF56" s="1690"/>
      <c r="AG56" s="1690"/>
      <c r="AH56" s="1690"/>
      <c r="AI56" s="1690"/>
      <c r="AJ56" s="1690"/>
      <c r="AK56" s="1690"/>
      <c r="AL56" s="1690"/>
      <c r="AM56" s="1690"/>
      <c r="AO56" s="861"/>
      <c r="AP56" s="861" t="str">
        <f>IF(T56="","",T56)</f>
        <v>Добавить территорию для дифференциации</v>
      </c>
      <c r="AQ56" s="861"/>
      <c r="AR56" s="861"/>
    </row>
    <row s="32198" customFormat="1" customHeight="1" ht="5.25">
      <c r="A57" s="1680"/>
      <c r="B57" s="1680"/>
      <c r="C57" s="1680"/>
      <c r="D57" s="1680"/>
      <c r="E57" s="1709"/>
      <c r="F57" s="1680"/>
      <c r="G57" s="1680"/>
      <c r="H57" s="1680"/>
      <c r="I57" s="1680"/>
      <c r="J57" s="1680"/>
      <c r="K57" s="1680"/>
      <c r="L57" s="1705"/>
      <c r="M57" s="1687"/>
      <c r="N57" s="1687"/>
      <c r="P57" s="1682"/>
      <c r="Q57" s="1683"/>
      <c r="R57" s="1682"/>
      <c r="S57" s="1688"/>
      <c r="T57" s="1691" t="s">
        <v>294</v>
      </c>
      <c r="U57" s="1690"/>
      <c r="V57" s="1690"/>
      <c r="W57" s="1690"/>
      <c r="X57" s="1690"/>
      <c r="Y57" s="1690"/>
      <c r="Z57" s="1690"/>
      <c r="AA57" s="1690"/>
      <c r="AB57" s="1690"/>
      <c r="AC57" s="1690"/>
      <c r="AD57" s="1690"/>
      <c r="AE57" s="1690"/>
      <c r="AF57" s="1690"/>
      <c r="AG57" s="1690"/>
      <c r="AH57" s="1690"/>
      <c r="AI57" s="1690"/>
      <c r="AJ57" s="1690"/>
      <c r="AK57" s="1690"/>
      <c r="AL57" s="1690"/>
      <c r="AM57" s="1690"/>
      <c r="AO57" s="1150"/>
      <c r="AP57" s="1150" t="str">
        <f>IF(T57="","",T57)</f>
        <v>Добавить наименование тарифа</v>
      </c>
      <c r="AQ57" s="1150"/>
      <c r="AR57" s="1150"/>
    </row>
    <row customHeight="1" ht="11.25">
      <c r="M58" s="1523"/>
      <c r="N58" s="1523"/>
      <c r="O58" s="898"/>
      <c r="P58" s="1518"/>
      <c r="Q58" s="1518"/>
      <c r="R58" s="1518"/>
      <c r="S58" s="1518"/>
      <c r="AN58" s="1518"/>
      <c r="AO58" s="1518"/>
      <c r="AP58" s="1518"/>
      <c r="AQ58" s="1518"/>
      <c r="AR58" s="1518"/>
    </row>
    <row customHeight="1" ht="14.25">
      <c r="O59" s="898"/>
      <c r="S59" s="1618"/>
      <c r="T59" s="2526"/>
      <c r="U59" s="2526"/>
      <c r="V59" s="2526"/>
      <c r="W59" s="2526"/>
      <c r="X59" s="2526"/>
      <c r="Y59" s="2526"/>
      <c r="Z59" s="2526"/>
      <c r="AA59" s="2526"/>
      <c r="AB59" s="2526"/>
      <c r="AC59" s="2526"/>
      <c r="AD59" s="2526"/>
      <c r="AE59" s="2526"/>
      <c r="AF59" s="2526"/>
      <c r="AG59" s="2526"/>
      <c r="AH59" s="2526"/>
      <c r="AI59" s="2526"/>
      <c r="AJ59" s="2526"/>
      <c r="AK59" s="2526"/>
      <c r="AL59" s="2526"/>
      <c r="AM59" s="2526"/>
    </row>
    <row customHeight="1" ht="14.25">
      <c r="O60" s="898"/>
      <c r="T60" s="2526"/>
      <c r="U60" s="2526"/>
      <c r="V60" s="2526"/>
      <c r="W60" s="2526"/>
      <c r="X60" s="2526"/>
      <c r="Y60" s="2526"/>
      <c r="Z60" s="2526"/>
      <c r="AA60" s="2526"/>
      <c r="AB60" s="2526"/>
      <c r="AC60" s="2526"/>
      <c r="AD60" s="2526"/>
      <c r="AE60" s="2526"/>
      <c r="AF60" s="2526"/>
      <c r="AG60" s="2526"/>
      <c r="AH60" s="2526"/>
      <c r="AI60" s="2526"/>
      <c r="AJ60" s="2526"/>
      <c r="AK60" s="2526"/>
      <c r="AL60" s="2526"/>
      <c r="AM60" s="2526"/>
    </row>
    <row customHeight="1" ht="14.25">
      <c r="O61" s="898"/>
      <c r="T61" s="2526"/>
      <c r="U61" s="2526"/>
      <c r="V61" s="2526"/>
      <c r="W61" s="2526"/>
      <c r="X61" s="2526"/>
      <c r="Y61" s="2526"/>
      <c r="Z61" s="2526"/>
      <c r="AA61" s="2526"/>
      <c r="AB61" s="2526"/>
      <c r="AC61" s="2526"/>
      <c r="AD61" s="2526"/>
      <c r="AE61" s="2526"/>
      <c r="AF61" s="2526"/>
      <c r="AG61" s="2526"/>
      <c r="AH61" s="2526"/>
      <c r="AI61" s="2526"/>
      <c r="AJ61" s="2526"/>
      <c r="AK61" s="2526"/>
      <c r="AL61" s="2526"/>
      <c r="AM61" s="2526"/>
    </row>
    <row customHeight="1" ht="14.25">
      <c r="O62" s="898"/>
    </row>
    <row customHeight="1" ht="14.25">
      <c r="O63" s="898"/>
      <c r="S63" s="1618"/>
      <c r="T63" s="2572"/>
      <c r="U63" s="2526"/>
      <c r="V63" s="2526"/>
      <c r="W63" s="2526"/>
      <c r="X63" s="2526"/>
      <c r="Y63" s="2526"/>
      <c r="Z63" s="2526"/>
      <c r="AA63" s="2526"/>
      <c r="AB63" s="2526"/>
      <c r="AC63" s="2526"/>
      <c r="AD63" s="2526"/>
      <c r="AE63" s="2526"/>
      <c r="AF63" s="2526"/>
      <c r="AG63" s="2526"/>
      <c r="AH63" s="2526"/>
      <c r="AI63" s="2526"/>
      <c r="AJ63" s="2526"/>
      <c r="AK63" s="2526"/>
      <c r="AL63" s="2526"/>
      <c r="AM63" s="2526"/>
    </row>
    <row customHeight="1" ht="14.25">
      <c r="O64" s="898"/>
      <c r="T64" s="2526"/>
      <c r="U64" s="2526"/>
      <c r="V64" s="2526"/>
      <c r="W64" s="2526"/>
      <c r="X64" s="2526"/>
      <c r="Y64" s="2526"/>
      <c r="Z64" s="2526"/>
      <c r="AA64" s="2526"/>
      <c r="AB64" s="2526"/>
      <c r="AC64" s="2526"/>
      <c r="AD64" s="2526"/>
      <c r="AE64" s="2526"/>
      <c r="AF64" s="2526"/>
      <c r="AG64" s="2526"/>
      <c r="AH64" s="2526"/>
      <c r="AI64" s="2526"/>
      <c r="AJ64" s="2526"/>
      <c r="AK64" s="2526"/>
      <c r="AL64" s="2526"/>
      <c r="AM64" s="2526"/>
    </row>
    <row customHeight="1" ht="14.25">
      <c r="T65" s="2526"/>
      <c r="U65" s="2526"/>
      <c r="V65" s="2526"/>
      <c r="W65" s="2526"/>
      <c r="X65" s="2526"/>
      <c r="Y65" s="2526"/>
      <c r="Z65" s="2526"/>
      <c r="AA65" s="2526"/>
      <c r="AB65" s="2526"/>
      <c r="AC65" s="2526"/>
      <c r="AD65" s="2526"/>
      <c r="AE65" s="2526"/>
      <c r="AF65" s="2526"/>
      <c r="AG65" s="2526"/>
      <c r="AH65" s="2526"/>
      <c r="AI65" s="2526"/>
      <c r="AJ65" s="2526"/>
      <c r="AK65" s="2526"/>
      <c r="AL65" s="2526"/>
      <c r="AM65" s="2526"/>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E3799B-2CDE-00BF-58C5-7CE10CFB646F}"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32302" width="10.57421875" hidden="1"/>
    <col min="2" max="2" style="32302" width="11.00390625" hidden="1" customWidth="1"/>
    <col min="3" max="3" style="32302" width="10.57421875" hidden="1"/>
    <col min="4" max="4" style="32302" width="11.8515625" hidden="1" customWidth="1"/>
    <col min="5" max="5" style="32302" width="10.00390625" hidden="1" customWidth="1"/>
    <col min="6" max="6" style="32302" width="8.7109375" hidden="1" customWidth="1"/>
    <col min="7" max="7" style="32302" width="7.57421875" hidden="1" customWidth="1"/>
    <col min="8" max="8" style="32302" width="11.421875" hidden="1" customWidth="1"/>
    <col min="9" max="9" style="32302" width="12.00390625" hidden="1" customWidth="1"/>
    <col min="10" max="10" style="32302" width="9.8515625" hidden="1" customWidth="1"/>
    <col min="11" max="12" style="32302" width="11.421875" hidden="1" customWidth="1"/>
    <col min="13" max="13" style="32406" width="19.140625" hidden="1" customWidth="1"/>
    <col min="14" max="15" style="32310" width="12.28125" hidden="1" customWidth="1"/>
    <col min="16" max="16" style="32310" width="23.421875" hidden="1" customWidth="1"/>
    <col min="17" max="17" style="32310" width="3.7109375" hidden="1" customWidth="1"/>
    <col min="18" max="20" style="32300" width="3.7109375" customWidth="1"/>
    <col min="21" max="21" style="32301" width="12.7109375" customWidth="1"/>
    <col min="22" max="22" style="32302" width="32.00390625" customWidth="1"/>
    <col min="23" max="23" style="32302" width="0.140625" customWidth="1"/>
    <col min="24" max="28" style="32302" width="21.7109375" hidden="1" customWidth="1"/>
    <col min="29" max="29" style="32302" width="11.7109375" hidden="1" customWidth="1"/>
    <col min="30" max="30" style="32302" width="3.7109375" hidden="1" customWidth="1"/>
    <col min="31" max="31" style="32302" width="11.7109375" hidden="1" customWidth="1"/>
    <col min="32" max="32" style="32302" width="8.57421875" hidden="1" customWidth="1"/>
    <col min="33" max="37" style="32302" width="21.7109375" customWidth="1"/>
    <col min="38" max="38" style="32302" width="11.7109375" customWidth="1"/>
    <col min="39" max="39" style="32302" width="3.7109375" customWidth="1"/>
    <col min="40" max="40" style="32302" width="11.7109375" customWidth="1"/>
    <col min="41" max="41" style="32302" width="8.57421875" customWidth="1"/>
    <col min="42" max="42" style="32302" width="4.7109375" customWidth="1"/>
    <col min="43" max="43" style="32302" width="115.7109375" customWidth="1"/>
    <col min="44" max="45" style="32289" width="10.57421875"/>
    <col min="46" max="46" style="32289" width="11.140625" customWidth="1"/>
    <col min="47" max="48" style="32289" width="10.57421875"/>
  </cols>
  <sheetData>
    <row customHeight="1" ht="14.25" hidden="1">
      <c r="AB1" s="688"/>
      <c r="AC1" s="688"/>
      <c r="AK1" s="688"/>
      <c r="AL1" s="688"/>
    </row>
    <row customHeight="1" ht="21" hidden="1">
      <c r="A2" s="1633"/>
      <c r="B2" s="1633"/>
      <c r="C2" s="1633"/>
      <c r="D2" s="1633"/>
      <c r="E2" s="2562">
        <v>1</v>
      </c>
      <c r="F2" s="1633"/>
      <c r="G2" s="1633"/>
      <c r="H2" s="1633"/>
      <c r="I2" s="1633"/>
      <c r="J2" s="1633"/>
      <c r="K2" s="1633"/>
      <c r="L2" s="1633"/>
      <c r="M2" s="1676"/>
      <c r="N2" s="1049"/>
      <c r="O2" s="1049"/>
      <c r="P2" s="1049"/>
      <c r="Q2" s="722"/>
      <c r="R2" s="721"/>
      <c r="S2" s="721"/>
      <c r="T2" s="716"/>
      <c r="U2" s="1702">
        <f>INDEX(PT_DIFFERENTIATION_NUM_NTAR,MATCH(A2,PT_DIFFERENTIATION_NTAR_ID,0))</f>
      </c>
      <c r="V2" s="659" t="s">
        <v>131</v>
      </c>
      <c r="W2" s="661"/>
      <c r="X2" s="2521"/>
      <c r="Y2" s="2522"/>
      <c r="Z2" s="2522"/>
      <c r="AA2" s="2522"/>
      <c r="AB2" s="2522"/>
      <c r="AC2" s="2522"/>
      <c r="AD2" s="2522"/>
      <c r="AE2" s="2522"/>
      <c r="AF2" s="2523"/>
      <c r="AG2" s="2521">
        <f>INDEX(PT_DIFFERENTIATION_NTAR,MATCH(A2,PT_DIFFERENTIATION_NTAR_ID,0))</f>
      </c>
      <c r="AH2" s="2522"/>
      <c r="AI2" s="2522"/>
      <c r="AJ2" s="2522"/>
      <c r="AK2" s="2522"/>
      <c r="AL2" s="2522"/>
      <c r="AM2" s="2522"/>
      <c r="AN2" s="2522"/>
      <c r="AO2" s="2522"/>
      <c r="AP2" s="2523"/>
      <c r="AQ2" s="1623" t="s">
        <v>437</v>
      </c>
      <c r="AS2" s="861"/>
      <c r="AT2" s="861" t="str">
        <f>IF(V2="","",V2)</f>
        <v>Наименование тарифа</v>
      </c>
      <c r="AU2" s="861"/>
      <c r="AV2" s="861"/>
    </row>
    <row customHeight="1" ht="21" hidden="1">
      <c r="A3" s="1633"/>
      <c r="B3" s="1633"/>
      <c r="C3" s="1633"/>
      <c r="D3" s="1633"/>
      <c r="E3" s="2563"/>
      <c r="F3" s="2562">
        <v>1</v>
      </c>
      <c r="G3" s="1633"/>
      <c r="H3" s="1633"/>
      <c r="I3" s="1633"/>
      <c r="J3" s="1633"/>
      <c r="K3" s="1633"/>
      <c r="L3" s="1633"/>
      <c r="M3" s="1676"/>
      <c r="N3" s="1049"/>
      <c r="O3" s="1049"/>
      <c r="P3" s="1049"/>
      <c r="Q3" s="1698"/>
      <c r="R3" s="713"/>
      <c r="S3" s="870"/>
      <c r="T3" s="714"/>
      <c r="U3" s="1702">
        <f>INDEX(PT_DIFFERENTIATION_NUM_TER,MATCH(B3,PT_DIFFERENTIATION_TER_ID,0))</f>
      </c>
      <c r="V3" s="669" t="s">
        <v>438</v>
      </c>
      <c r="W3" s="661"/>
      <c r="X3" s="2521"/>
      <c r="Y3" s="2522"/>
      <c r="Z3" s="2522"/>
      <c r="AA3" s="2522"/>
      <c r="AB3" s="2522"/>
      <c r="AC3" s="2522"/>
      <c r="AD3" s="2522"/>
      <c r="AE3" s="2522"/>
      <c r="AF3" s="2523"/>
      <c r="AG3" s="2521">
        <f>INDEX(PT_DIFFERENTIATION_TER,MATCH(B3,PT_DIFFERENTIATION_TER_ID,0))</f>
      </c>
      <c r="AH3" s="2522"/>
      <c r="AI3" s="2522"/>
      <c r="AJ3" s="2522"/>
      <c r="AK3" s="2522"/>
      <c r="AL3" s="2522"/>
      <c r="AM3" s="2522"/>
      <c r="AN3" s="2522"/>
      <c r="AO3" s="2522"/>
      <c r="AP3" s="2523"/>
      <c r="AQ3" s="1623" t="s">
        <v>439</v>
      </c>
      <c r="AS3" s="861"/>
      <c r="AT3" s="861" t="str">
        <f>IF(V3="","",V3)</f>
        <v>Территория действия тарифа</v>
      </c>
      <c r="AU3" s="861"/>
      <c r="AV3" s="861"/>
    </row>
    <row customHeight="1" ht="22.5" hidden="1">
      <c r="A4" s="1633"/>
      <c r="B4" s="1633"/>
      <c r="C4" s="1633"/>
      <c r="D4" s="1633"/>
      <c r="E4" s="2563"/>
      <c r="F4" s="2563"/>
      <c r="G4" s="2562">
        <v>1</v>
      </c>
      <c r="H4" s="1633"/>
      <c r="I4" s="1633"/>
      <c r="J4" s="1633"/>
      <c r="K4" s="1633"/>
      <c r="L4" s="1633"/>
      <c r="M4" s="1676"/>
      <c r="N4" s="1049"/>
      <c r="O4" s="1049"/>
      <c r="P4" s="1049"/>
      <c r="Q4" s="715"/>
      <c r="R4" s="713"/>
      <c r="S4" s="870"/>
      <c r="T4" s="714"/>
      <c r="U4" s="1702">
        <f>INDEX(PT_DIFFERENTIATION_NUM_CS,MATCH(C4,PT_DIFFERENTIATION_CS_ID,0))</f>
      </c>
      <c r="V4" s="670" t="s">
        <v>440</v>
      </c>
      <c r="W4" s="661"/>
      <c r="X4" s="2521"/>
      <c r="Y4" s="2522"/>
      <c r="Z4" s="2522"/>
      <c r="AA4" s="2522"/>
      <c r="AB4" s="2522"/>
      <c r="AC4" s="2522"/>
      <c r="AD4" s="2522"/>
      <c r="AE4" s="2522"/>
      <c r="AF4" s="2523"/>
      <c r="AG4" s="2521">
        <f>INDEX(PT_DIFFERENTIATION_CS,MATCH(C4,PT_DIFFERENTIATION_CS_ID,0))</f>
      </c>
      <c r="AH4" s="2522"/>
      <c r="AI4" s="2522"/>
      <c r="AJ4" s="2522"/>
      <c r="AK4" s="2522"/>
      <c r="AL4" s="2522"/>
      <c r="AM4" s="2522"/>
      <c r="AN4" s="2522"/>
      <c r="AO4" s="2522"/>
      <c r="AP4" s="2523"/>
      <c r="AQ4" s="1623" t="s">
        <v>441</v>
      </c>
      <c r="AS4" s="861"/>
      <c r="AT4" s="861" t="str">
        <f>IF(V4="","",V4)</f>
        <v>Наименование системы теплоснабжения </v>
      </c>
      <c r="AU4" s="861"/>
      <c r="AV4" s="861"/>
    </row>
    <row customHeight="1" ht="21" hidden="1">
      <c r="A5" s="1633"/>
      <c r="B5" s="1633"/>
      <c r="C5" s="1633"/>
      <c r="D5" s="1633"/>
      <c r="E5" s="2563"/>
      <c r="F5" s="2563"/>
      <c r="G5" s="2563"/>
      <c r="H5" s="2562">
        <v>1</v>
      </c>
      <c r="I5" s="1633"/>
      <c r="J5" s="1633"/>
      <c r="K5" s="1633"/>
      <c r="L5" s="1633"/>
      <c r="M5" s="1676"/>
      <c r="N5" s="1049"/>
      <c r="O5" s="1049"/>
      <c r="P5" s="1049"/>
      <c r="Q5" s="715"/>
      <c r="R5" s="713"/>
      <c r="S5" s="870"/>
      <c r="T5" s="714"/>
      <c r="U5" s="1702">
        <f>INDEX(PT_DIFFERENTIATION_NUM_IST_TE,MATCH(D5,PT_DIFFERENTIATION_IST_TE_ID,0))</f>
      </c>
      <c r="V5" s="671" t="s">
        <v>442</v>
      </c>
      <c r="W5" s="661"/>
      <c r="X5" s="2521"/>
      <c r="Y5" s="2522"/>
      <c r="Z5" s="2522"/>
      <c r="AA5" s="2522"/>
      <c r="AB5" s="2522"/>
      <c r="AC5" s="2522"/>
      <c r="AD5" s="2522"/>
      <c r="AE5" s="2522"/>
      <c r="AF5" s="2523"/>
      <c r="AG5" s="2521">
        <f>INDEX(PT_DIFFERENTIATION_IST_TE,MATCH(D5,PT_DIFFERENTIATION_IST_TE_ID,0))</f>
      </c>
      <c r="AH5" s="2522"/>
      <c r="AI5" s="2522"/>
      <c r="AJ5" s="2522"/>
      <c r="AK5" s="2522"/>
      <c r="AL5" s="2522"/>
      <c r="AM5" s="2522"/>
      <c r="AN5" s="2522"/>
      <c r="AO5" s="2522"/>
      <c r="AP5" s="2523"/>
      <c r="AQ5" s="1623" t="s">
        <v>443</v>
      </c>
      <c r="AS5" s="861"/>
      <c r="AT5" s="861" t="str">
        <f>IF(V5="","",V5)</f>
        <v>Источник тепловой энергии  </v>
      </c>
      <c r="AU5" s="861"/>
      <c r="AV5" s="861"/>
    </row>
    <row customHeight="1" ht="14.25" hidden="1">
      <c r="A6" s="1633"/>
      <c r="B6" s="1633"/>
      <c r="C6" s="1633"/>
      <c r="D6" s="1633"/>
      <c r="E6" s="2563"/>
      <c r="F6" s="2563"/>
      <c r="G6" s="2563"/>
      <c r="H6" s="2563"/>
      <c r="I6" s="2392">
        <f>U5&amp;".1"</f>
      </c>
      <c r="J6" s="1633"/>
      <c r="K6" s="1633"/>
      <c r="L6" s="1633"/>
      <c r="M6" s="1676" t="s">
        <v>444</v>
      </c>
      <c r="N6" s="870"/>
      <c r="Q6" s="2531">
        <v>1</v>
      </c>
      <c r="R6" s="1697"/>
      <c r="S6" s="1697"/>
      <c r="T6" s="717"/>
      <c r="U6" s="1404"/>
      <c r="V6" s="1749"/>
      <c r="W6" s="1750"/>
      <c r="X6" s="2569"/>
      <c r="Y6" s="2570"/>
      <c r="Z6" s="2570"/>
      <c r="AA6" s="2570"/>
      <c r="AB6" s="2570"/>
      <c r="AC6" s="2570"/>
      <c r="AD6" s="2570"/>
      <c r="AE6" s="2570"/>
      <c r="AF6" s="2571"/>
      <c r="AG6" s="2569"/>
      <c r="AH6" s="2570"/>
      <c r="AI6" s="2570"/>
      <c r="AJ6" s="2570"/>
      <c r="AK6" s="2570"/>
      <c r="AL6" s="2570"/>
      <c r="AM6" s="2570"/>
      <c r="AN6" s="2570"/>
      <c r="AO6" s="2570"/>
      <c r="AP6" s="2571"/>
      <c r="AQ6" s="1751"/>
      <c r="AS6" s="861"/>
      <c r="AT6" s="861" t="str">
        <f>IF(V6="","",V6)</f>
        <v/>
      </c>
      <c r="AU6" s="861"/>
      <c r="AV6" s="861"/>
    </row>
    <row customHeight="1" ht="21" hidden="1">
      <c r="A7" s="1633"/>
      <c r="B7" s="1633"/>
      <c r="C7" s="1633"/>
      <c r="D7" s="1633"/>
      <c r="E7" s="2563"/>
      <c r="F7" s="2563"/>
      <c r="G7" s="2563"/>
      <c r="H7" s="2563"/>
      <c r="I7" s="2376"/>
      <c r="J7" s="2392">
        <f>I6&amp;".1"</f>
      </c>
      <c r="K7" s="1633"/>
      <c r="L7" s="1633"/>
      <c r="M7" s="1676" t="s">
        <v>447</v>
      </c>
      <c r="N7" s="870"/>
      <c r="O7" s="688"/>
      <c r="Q7" s="2531"/>
      <c r="R7" s="2531">
        <v>1</v>
      </c>
      <c r="S7" s="879"/>
      <c r="T7" s="718"/>
      <c r="U7" s="1702">
        <f>$J7</f>
      </c>
      <c r="V7" s="647" t="s">
        <v>448</v>
      </c>
      <c r="W7" s="661"/>
      <c r="X7" s="2515"/>
      <c r="Y7" s="2516"/>
      <c r="Z7" s="2516"/>
      <c r="AA7" s="2516"/>
      <c r="AB7" s="2516"/>
      <c r="AC7" s="2508"/>
      <c r="AD7" s="2508"/>
      <c r="AE7" s="2508"/>
      <c r="AF7" s="2591"/>
      <c r="AG7" s="2515"/>
      <c r="AH7" s="2516"/>
      <c r="AI7" s="2516"/>
      <c r="AJ7" s="2516"/>
      <c r="AK7" s="2516"/>
      <c r="AL7" s="2516"/>
      <c r="AM7" s="2516"/>
      <c r="AN7" s="2516"/>
      <c r="AO7" s="2516"/>
      <c r="AP7" s="2517"/>
      <c r="AQ7" s="1623" t="s">
        <v>449</v>
      </c>
      <c r="AS7" s="861"/>
      <c r="AT7" s="861" t="str">
        <f>IF(V7="","",V7)</f>
        <v>Группа потребителей</v>
      </c>
      <c r="AU7" s="861"/>
      <c r="AV7" s="861"/>
    </row>
    <row customHeight="1" ht="21" hidden="1">
      <c r="A8" s="1633"/>
      <c r="B8" s="1633"/>
      <c r="C8" s="1633"/>
      <c r="D8" s="1633"/>
      <c r="E8" s="2563"/>
      <c r="F8" s="2563"/>
      <c r="G8" s="2563"/>
      <c r="H8" s="2563"/>
      <c r="I8" s="2376"/>
      <c r="J8" s="2376"/>
      <c r="K8" s="2392">
        <f>J7&amp;".1"</f>
      </c>
      <c r="L8" s="501"/>
      <c r="M8" s="1676" t="s">
        <v>450</v>
      </c>
      <c r="N8" s="870"/>
      <c r="O8" s="688"/>
      <c r="P8" s="688"/>
      <c r="Q8" s="2531"/>
      <c r="R8" s="2531"/>
      <c r="S8" s="2531">
        <v>1</v>
      </c>
      <c r="T8" s="718"/>
      <c r="U8" s="1702">
        <f>$K8</f>
      </c>
      <c r="V8" s="1713"/>
      <c r="W8" s="661"/>
      <c r="X8" s="1112"/>
      <c r="Y8" s="1112"/>
      <c r="Z8" s="1112"/>
      <c r="AA8" s="1112"/>
      <c r="AB8" s="1771"/>
      <c r="AC8" s="2532"/>
      <c r="AD8" s="2402" t="s">
        <v>66</v>
      </c>
      <c r="AE8" s="2532"/>
      <c r="AF8" s="2402" t="s">
        <v>66</v>
      </c>
      <c r="AG8" s="1773"/>
      <c r="AH8" s="1112"/>
      <c r="AI8" s="1112"/>
      <c r="AJ8" s="1112"/>
      <c r="AK8" s="1622"/>
      <c r="AL8" s="2532"/>
      <c r="AM8" s="2402" t="s">
        <v>66</v>
      </c>
      <c r="AN8" s="2532"/>
      <c r="AO8" s="2402" t="s">
        <v>66</v>
      </c>
      <c r="AP8" s="686"/>
      <c r="AQ8" s="1673" t="s">
        <v>490</v>
      </c>
      <c r="AR8" s="872">
        <f>STRCHECKDATE(X10:AP10)</f>
      </c>
      <c r="AS8" s="861"/>
      <c r="AT8" s="861" t="str">
        <f>IF(V8="","",V8)</f>
        <v/>
      </c>
      <c r="AU8" s="861"/>
      <c r="AV8" s="861"/>
    </row>
    <row customHeight="1" ht="21" hidden="1">
      <c r="A9" s="1633"/>
      <c r="B9" s="1633"/>
      <c r="C9" s="1633"/>
      <c r="D9" s="1633"/>
      <c r="E9" s="2563"/>
      <c r="F9" s="2563"/>
      <c r="G9" s="2563"/>
      <c r="H9" s="2563"/>
      <c r="I9" s="2376"/>
      <c r="J9" s="2376"/>
      <c r="K9" s="2376"/>
      <c r="L9" s="2392">
        <f>K8&amp;".1"</f>
      </c>
      <c r="M9" s="1676"/>
      <c r="N9" s="870"/>
      <c r="O9" s="688"/>
      <c r="P9" s="688"/>
      <c r="Q9" s="2531"/>
      <c r="R9" s="2531"/>
      <c r="S9" s="2531"/>
      <c r="T9" s="718"/>
      <c r="U9" s="1702">
        <f>$L9</f>
      </c>
      <c r="V9" s="1757"/>
      <c r="W9" s="661"/>
      <c r="X9" s="686"/>
      <c r="Y9" s="1112"/>
      <c r="Z9" s="1112"/>
      <c r="AA9" s="1112"/>
      <c r="AB9" s="1771"/>
      <c r="AC9" s="2574"/>
      <c r="AD9" s="2402"/>
      <c r="AE9" s="2574"/>
      <c r="AF9" s="2402"/>
      <c r="AG9" s="1773"/>
      <c r="AH9" s="1112"/>
      <c r="AI9" s="1112"/>
      <c r="AJ9" s="1112"/>
      <c r="AK9" s="1622"/>
      <c r="AL9" s="2574"/>
      <c r="AM9" s="2402"/>
      <c r="AN9" s="2574"/>
      <c r="AO9" s="2402"/>
      <c r="AP9" s="686"/>
      <c r="AQ9" s="2557" t="s">
        <v>491</v>
      </c>
      <c r="AS9" s="861"/>
      <c r="AT9" s="861"/>
      <c r="AU9" s="861"/>
      <c r="AV9" s="861"/>
    </row>
    <row customHeight="1" ht="14.25" hidden="1">
      <c r="A10" s="1633"/>
      <c r="B10" s="1633"/>
      <c r="C10" s="1633"/>
      <c r="D10" s="1633"/>
      <c r="E10" s="2563"/>
      <c r="F10" s="2563"/>
      <c r="G10" s="2563"/>
      <c r="H10" s="2563"/>
      <c r="I10" s="2376"/>
      <c r="J10" s="2376"/>
      <c r="K10" s="2376"/>
      <c r="L10" s="2392"/>
      <c r="M10" s="1676"/>
      <c r="N10" s="870"/>
      <c r="O10" s="688"/>
      <c r="P10" s="688"/>
      <c r="Q10" s="2531"/>
      <c r="R10" s="2531"/>
      <c r="S10" s="2531"/>
      <c r="T10" s="718"/>
      <c r="U10" s="1708"/>
      <c r="V10" s="661"/>
      <c r="W10" s="661"/>
      <c r="X10" s="686"/>
      <c r="Y10" s="686"/>
      <c r="Z10" s="686"/>
      <c r="AA10" s="686"/>
      <c r="AB10" s="1772" t="str">
        <f>AC8&amp;"-"&amp;AE8</f>
        <v>-</v>
      </c>
      <c r="AC10" s="2574"/>
      <c r="AD10" s="2402"/>
      <c r="AE10" s="2574"/>
      <c r="AF10" s="2402"/>
      <c r="AG10" s="1748"/>
      <c r="AH10" s="686"/>
      <c r="AI10" s="686"/>
      <c r="AJ10" s="686"/>
      <c r="AK10" s="689" t="str">
        <f>AL8&amp;"-"&amp;AN8</f>
        <v>-</v>
      </c>
      <c r="AL10" s="2574"/>
      <c r="AM10" s="2402"/>
      <c r="AN10" s="2574"/>
      <c r="AO10" s="2402"/>
      <c r="AP10" s="686"/>
      <c r="AQ10" s="2558"/>
      <c r="AS10" s="861"/>
      <c r="AT10" s="861" t="str">
        <f>IF(V10="","",V10)</f>
        <v/>
      </c>
      <c r="AU10" s="861"/>
      <c r="AV10" s="861"/>
    </row>
    <row customHeight="1" ht="11.25" hidden="1">
      <c r="A11" s="1633"/>
      <c r="B11" s="1633"/>
      <c r="C11" s="1633"/>
      <c r="D11" s="1633"/>
      <c r="E11" s="2563"/>
      <c r="F11" s="2563"/>
      <c r="G11" s="2563"/>
      <c r="H11" s="2563"/>
      <c r="I11" s="2376"/>
      <c r="J11" s="2376"/>
      <c r="K11" s="2392"/>
      <c r="L11" s="1633"/>
      <c r="M11" s="1676"/>
      <c r="N11" s="870"/>
      <c r="O11" s="688"/>
      <c r="P11" s="688"/>
      <c r="Q11" s="2531"/>
      <c r="R11" s="2531"/>
      <c r="S11" s="2531"/>
      <c r="T11" s="718"/>
      <c r="U11" s="1644"/>
      <c r="V11" s="649" t="s">
        <v>492</v>
      </c>
      <c r="W11" s="1758"/>
      <c r="X11" s="1759"/>
      <c r="Y11" s="1759"/>
      <c r="Z11" s="1759"/>
      <c r="AA11" s="1759"/>
      <c r="AB11" s="1760"/>
      <c r="AC11" s="2574"/>
      <c r="AD11" s="2402"/>
      <c r="AE11" s="2574"/>
      <c r="AF11" s="2402"/>
      <c r="AG11" s="1759"/>
      <c r="AH11" s="1759"/>
      <c r="AI11" s="1759"/>
      <c r="AJ11" s="1759"/>
      <c r="AK11" s="1760"/>
      <c r="AL11" s="2574"/>
      <c r="AM11" s="2402"/>
      <c r="AN11" s="2574"/>
      <c r="AO11" s="2402"/>
      <c r="AP11" s="1761"/>
      <c r="AQ11" s="2558"/>
      <c r="AS11" s="861"/>
      <c r="AT11" s="861"/>
      <c r="AU11" s="861"/>
      <c r="AV11" s="861"/>
    </row>
    <row customHeight="1" ht="15" hidden="1">
      <c r="A12" s="1633"/>
      <c r="B12" s="1633"/>
      <c r="C12" s="1633"/>
      <c r="D12" s="1633"/>
      <c r="E12" s="2563"/>
      <c r="F12" s="2563"/>
      <c r="G12" s="2563"/>
      <c r="H12" s="2563"/>
      <c r="I12" s="2376"/>
      <c r="J12" s="2392"/>
      <c r="K12" s="1633"/>
      <c r="L12" s="1633"/>
      <c r="M12" s="1676"/>
      <c r="N12" s="870"/>
      <c r="O12" s="688"/>
      <c r="Q12" s="2531"/>
      <c r="R12" s="2531"/>
      <c r="S12" s="1697"/>
      <c r="T12" s="717"/>
      <c r="U12" s="1644"/>
      <c r="V12" s="648" t="s">
        <v>452</v>
      </c>
      <c r="W12" s="728"/>
      <c r="X12" s="728"/>
      <c r="Y12" s="728"/>
      <c r="Z12" s="728"/>
      <c r="AA12" s="728"/>
      <c r="AB12" s="728"/>
      <c r="AC12" s="1774"/>
      <c r="AD12" s="1774"/>
      <c r="AE12" s="1774"/>
      <c r="AF12" s="1774"/>
      <c r="AG12" s="728"/>
      <c r="AH12" s="728"/>
      <c r="AI12" s="728"/>
      <c r="AJ12" s="728"/>
      <c r="AK12" s="728"/>
      <c r="AL12" s="728"/>
      <c r="AM12" s="728"/>
      <c r="AN12" s="728"/>
      <c r="AO12" s="728"/>
      <c r="AP12" s="685"/>
      <c r="AQ12" s="2559"/>
      <c r="AS12" s="861"/>
      <c r="AT12" s="861" t="str">
        <f>IF(V12="","",V12)</f>
        <v>Добавить вид теплоносителя (параметры теплоносителя)</v>
      </c>
      <c r="AU12" s="861"/>
      <c r="AV12" s="861"/>
    </row>
    <row customHeight="1" ht="11.25" hidden="1">
      <c r="A13" s="1633"/>
      <c r="B13" s="1633"/>
      <c r="C13" s="1633"/>
      <c r="D13" s="1633"/>
      <c r="E13" s="2563"/>
      <c r="F13" s="2563"/>
      <c r="G13" s="2563"/>
      <c r="H13" s="2563"/>
      <c r="I13" s="2392"/>
      <c r="J13" s="1633"/>
      <c r="K13" s="1633"/>
      <c r="L13" s="1633"/>
      <c r="M13" s="1676"/>
      <c r="N13" s="870"/>
      <c r="Q13" s="2531"/>
      <c r="R13" s="1697"/>
      <c r="S13" s="1697"/>
      <c r="T13" s="717"/>
      <c r="U13" s="1644"/>
      <c r="V13" s="726" t="s">
        <v>453</v>
      </c>
      <c r="W13" s="728"/>
      <c r="X13" s="728"/>
      <c r="Y13" s="728"/>
      <c r="Z13" s="728"/>
      <c r="AA13" s="728"/>
      <c r="AB13" s="728"/>
      <c r="AC13" s="728"/>
      <c r="AD13" s="728"/>
      <c r="AE13" s="728"/>
      <c r="AF13" s="727"/>
      <c r="AG13" s="728"/>
      <c r="AH13" s="728"/>
      <c r="AI13" s="728"/>
      <c r="AJ13" s="728"/>
      <c r="AK13" s="728"/>
      <c r="AL13" s="728"/>
      <c r="AM13" s="728"/>
      <c r="AN13" s="728"/>
      <c r="AO13" s="727"/>
      <c r="AP13" s="728"/>
      <c r="AQ13" s="664"/>
      <c r="AS13" s="861"/>
      <c r="AT13" s="861" t="str">
        <f>IF(V13="","",V13)</f>
        <v>Добавить группу потребителей</v>
      </c>
      <c r="AU13" s="861"/>
      <c r="AV13" s="861"/>
    </row>
    <row customHeight="1" ht="14.25" hidden="1">
      <c r="A14" s="1633"/>
      <c r="B14" s="1633"/>
      <c r="C14" s="1633"/>
      <c r="D14" s="1633"/>
      <c r="E14" s="2563"/>
      <c r="F14" s="2563"/>
      <c r="G14" s="2563"/>
      <c r="H14" s="2562"/>
      <c r="I14" s="1633"/>
      <c r="J14" s="1633"/>
      <c r="K14" s="1633"/>
      <c r="L14" s="1633"/>
      <c r="M14" s="1676"/>
      <c r="N14" s="1049"/>
      <c r="O14" s="1049"/>
      <c r="P14" s="870"/>
      <c r="Q14" s="721"/>
      <c r="R14" s="736"/>
      <c r="S14" s="716"/>
      <c r="T14" s="721"/>
      <c r="U14" s="1752"/>
      <c r="V14" s="1753"/>
      <c r="W14" s="1754"/>
      <c r="X14" s="1754"/>
      <c r="Y14" s="1754"/>
      <c r="Z14" s="1754"/>
      <c r="AA14" s="1754"/>
      <c r="AB14" s="1754"/>
      <c r="AC14" s="1754"/>
      <c r="AD14" s="1754"/>
      <c r="AE14" s="1754"/>
      <c r="AF14" s="1754"/>
      <c r="AG14" s="1754"/>
      <c r="AH14" s="1754"/>
      <c r="AI14" s="1754"/>
      <c r="AJ14" s="1754"/>
      <c r="AK14" s="1754"/>
      <c r="AL14" s="1754"/>
      <c r="AM14" s="1754"/>
      <c r="AN14" s="1754"/>
      <c r="AO14" s="1754"/>
      <c r="AP14" s="1754"/>
      <c r="AQ14" s="1755"/>
      <c r="AS14" s="861"/>
      <c r="AT14" s="861" t="str">
        <f>IF(V14="","",V14)</f>
        <v/>
      </c>
      <c r="AU14" s="861"/>
      <c r="AV14" s="861"/>
    </row>
    <row s="32198" customFormat="1" customHeight="1" ht="14.25" hidden="1">
      <c r="A15" s="1740"/>
      <c r="B15" s="1740"/>
      <c r="C15" s="1740"/>
      <c r="D15" s="1740"/>
      <c r="E15" s="2563"/>
      <c r="F15" s="2563"/>
      <c r="G15" s="2562"/>
      <c r="H15" s="1740"/>
      <c r="I15" s="1740"/>
      <c r="J15" s="1740"/>
      <c r="K15" s="1740"/>
      <c r="L15" s="1740"/>
      <c r="M15" s="1743"/>
      <c r="N15" s="1744"/>
      <c r="O15" s="1744"/>
      <c r="P15" s="712"/>
      <c r="Q15" s="1682"/>
      <c r="R15" s="1683"/>
      <c r="S15" s="1682"/>
      <c r="T15" s="1682"/>
      <c r="U15" s="1684"/>
      <c r="V15" s="1685" t="s">
        <v>455</v>
      </c>
      <c r="W15" s="1686"/>
      <c r="X15" s="1686"/>
      <c r="Y15" s="1686"/>
      <c r="Z15" s="1686"/>
      <c r="AA15" s="1686"/>
      <c r="AB15" s="1686"/>
      <c r="AC15" s="1686"/>
      <c r="AD15" s="1686"/>
      <c r="AE15" s="1686"/>
      <c r="AF15" s="1686"/>
      <c r="AG15" s="1686"/>
      <c r="AH15" s="1686"/>
      <c r="AI15" s="1686"/>
      <c r="AJ15" s="1686"/>
      <c r="AK15" s="1686"/>
      <c r="AL15" s="1686"/>
      <c r="AM15" s="1686"/>
      <c r="AN15" s="1686"/>
      <c r="AO15" s="1686"/>
      <c r="AP15" s="1686"/>
      <c r="AQ15" s="1686"/>
      <c r="AS15" s="1150"/>
      <c r="AT15" s="1150" t="str">
        <f>IF(V15="","",V15)</f>
        <v>Добавить источник для дифференциации</v>
      </c>
      <c r="AU15" s="1150"/>
      <c r="AV15" s="1150"/>
    </row>
    <row s="32198" customFormat="1" customHeight="1" ht="14.25" hidden="1">
      <c r="A16" s="1740"/>
      <c r="B16" s="1740"/>
      <c r="C16" s="1740"/>
      <c r="D16" s="1740"/>
      <c r="E16" s="2563"/>
      <c r="F16" s="2562"/>
      <c r="G16" s="1740"/>
      <c r="H16" s="1740"/>
      <c r="I16" s="1740"/>
      <c r="J16" s="1740"/>
      <c r="K16" s="1740"/>
      <c r="L16" s="1740"/>
      <c r="M16" s="1743"/>
      <c r="N16" s="1745"/>
      <c r="O16" s="1745"/>
      <c r="P16" s="712"/>
      <c r="Q16" s="1682"/>
      <c r="R16" s="1683"/>
      <c r="S16" s="1682"/>
      <c r="T16" s="1682"/>
      <c r="U16" s="1688"/>
      <c r="V16" s="1689" t="s">
        <v>262</v>
      </c>
      <c r="W16" s="1690"/>
      <c r="X16" s="1690"/>
      <c r="Y16" s="1690"/>
      <c r="Z16" s="1690"/>
      <c r="AA16" s="1690"/>
      <c r="AB16" s="1690"/>
      <c r="AC16" s="1690"/>
      <c r="AD16" s="1690"/>
      <c r="AE16" s="1690"/>
      <c r="AF16" s="1690"/>
      <c r="AG16" s="1690"/>
      <c r="AH16" s="1690"/>
      <c r="AI16" s="1690"/>
      <c r="AJ16" s="1690"/>
      <c r="AK16" s="1690"/>
      <c r="AL16" s="1690"/>
      <c r="AM16" s="1690"/>
      <c r="AN16" s="1690"/>
      <c r="AO16" s="1690"/>
      <c r="AP16" s="1690"/>
      <c r="AQ16" s="1690"/>
      <c r="AS16" s="1150"/>
      <c r="AT16" s="1150" t="str">
        <f>IF(V16="","",V16)</f>
        <v>Добавить централизованную систему для дифференциации</v>
      </c>
      <c r="AU16" s="1150"/>
      <c r="AV16" s="1150"/>
    </row>
    <row s="32198" customFormat="1" customHeight="1" ht="14.25" hidden="1">
      <c r="A17" s="1740"/>
      <c r="B17" s="1740"/>
      <c r="C17" s="1740"/>
      <c r="D17" s="1740"/>
      <c r="E17" s="2562"/>
      <c r="F17" s="1740"/>
      <c r="G17" s="1740"/>
      <c r="H17" s="1740"/>
      <c r="I17" s="1740"/>
      <c r="J17" s="1740"/>
      <c r="K17" s="1740"/>
      <c r="L17" s="1740"/>
      <c r="M17" s="1743"/>
      <c r="N17" s="1745"/>
      <c r="O17" s="1745"/>
      <c r="P17" s="712"/>
      <c r="Q17" s="1682"/>
      <c r="R17" s="1683"/>
      <c r="S17" s="1682"/>
      <c r="T17" s="1682"/>
      <c r="U17" s="1688"/>
      <c r="V17" s="1691" t="s">
        <v>270</v>
      </c>
      <c r="W17" s="1690"/>
      <c r="X17" s="1690"/>
      <c r="Y17" s="1690"/>
      <c r="Z17" s="1690"/>
      <c r="AA17" s="1690"/>
      <c r="AB17" s="1690"/>
      <c r="AC17" s="1690"/>
      <c r="AD17" s="1690"/>
      <c r="AE17" s="1690"/>
      <c r="AF17" s="1690"/>
      <c r="AG17" s="1690"/>
      <c r="AH17" s="1690"/>
      <c r="AI17" s="1690"/>
      <c r="AJ17" s="1690"/>
      <c r="AK17" s="1690"/>
      <c r="AL17" s="1690"/>
      <c r="AM17" s="1690"/>
      <c r="AN17" s="1690"/>
      <c r="AO17" s="1690"/>
      <c r="AP17" s="1690"/>
      <c r="AQ17" s="1690"/>
      <c r="AS17" s="1150"/>
      <c r="AT17" s="1150" t="str">
        <f>IF(V17="","",V17)</f>
        <v>Добавить территорию для дифференциации</v>
      </c>
      <c r="AU17" s="1150"/>
      <c r="AV17" s="1150"/>
    </row>
    <row customHeight="1" ht="14.25" hidden="1">
      <c r="AF18" s="688"/>
      <c r="AO18" s="688"/>
    </row>
    <row customHeight="1" ht="14.25" hidden="1">
      <c r="AG19" s="1726"/>
      <c r="AH19" s="1726"/>
      <c r="AI19" s="1726"/>
      <c r="AJ19" s="1726"/>
      <c r="AK19" s="1727"/>
      <c r="AL19" s="2525"/>
      <c r="AM19" s="2524" t="s">
        <v>66</v>
      </c>
      <c r="AN19" s="2525"/>
      <c r="AO19" s="2524" t="s">
        <v>66</v>
      </c>
    </row>
    <row customHeight="1" ht="14.25" hidden="1">
      <c r="AG20" s="1726"/>
      <c r="AH20" s="1726"/>
      <c r="AI20" s="1726"/>
      <c r="AJ20" s="1726"/>
      <c r="AK20" s="1727"/>
      <c r="AL20" s="2525"/>
      <c r="AM20" s="2524"/>
      <c r="AN20" s="2525"/>
      <c r="AO20" s="2524"/>
    </row>
    <row customHeight="1" ht="14.25" hidden="1">
      <c r="AG21" s="1726"/>
      <c r="AH21" s="1726"/>
      <c r="AI21" s="1726"/>
      <c r="AJ21" s="1726"/>
      <c r="AK21" s="1727"/>
      <c r="AL21" s="2525"/>
      <c r="AM21" s="2524"/>
      <c r="AN21" s="2525"/>
      <c r="AO21" s="2524"/>
    </row>
    <row customHeight="1" ht="14.25" hidden="1">
      <c r="AG22" s="1726"/>
      <c r="AH22" s="1726"/>
      <c r="AI22" s="1726"/>
      <c r="AJ22" s="1726"/>
      <c r="AK22" s="689" t="str">
        <f>AL19&amp;"-"&amp;AN19</f>
        <v>-</v>
      </c>
      <c r="AL22" s="2524"/>
      <c r="AM22" s="2524"/>
      <c r="AN22" s="2524"/>
      <c r="AO22" s="2524"/>
    </row>
    <row customHeight="1" ht="14.25" hidden="1">
      <c r="AO23" s="688"/>
    </row>
    <row s="32217" customFormat="1" customHeight="1" ht="22.5" hidden="1">
      <c r="A24" s="1518"/>
      <c r="B24" s="1518"/>
      <c r="C24" s="1518"/>
      <c r="D24" s="1518"/>
      <c r="E24" s="1518"/>
      <c r="F24" s="1518"/>
      <c r="G24" s="1518"/>
      <c r="H24" s="1518"/>
      <c r="I24" s="1518"/>
      <c r="J24" s="1518"/>
      <c r="K24" s="1518"/>
      <c r="L24" s="1518"/>
      <c r="M24" s="1693"/>
      <c r="N24" s="1694"/>
      <c r="O24" s="1694"/>
      <c r="P24" s="1711" t="s">
        <v>456</v>
      </c>
      <c r="Q24" s="1728"/>
      <c r="R24" s="1737"/>
      <c r="S24" s="1737"/>
      <c r="T24" s="1737"/>
      <c r="U24" s="1090"/>
      <c r="AC24" s="1733"/>
      <c r="AE24" s="1733"/>
      <c r="AF24" s="1732"/>
      <c r="AL24" s="1733"/>
      <c r="AN24" s="1733"/>
      <c r="AO24" s="1732"/>
      <c r="AR24" s="872"/>
      <c r="AS24" s="872"/>
      <c r="AT24" s="872"/>
      <c r="AU24" s="872"/>
      <c r="AV24" s="872"/>
    </row>
    <row s="32217" customFormat="1" customHeight="1" ht="14.25" hidden="1">
      <c r="A25" s="1518"/>
      <c r="B25" s="1518"/>
      <c r="C25" s="1518"/>
      <c r="D25" s="1518"/>
      <c r="E25" s="1518"/>
      <c r="F25" s="1518"/>
      <c r="G25" s="1518"/>
      <c r="H25" s="1518"/>
      <c r="I25" s="1518"/>
      <c r="J25" s="1518"/>
      <c r="K25" s="1518"/>
      <c r="L25" s="1518"/>
      <c r="M25" s="1693"/>
      <c r="N25" s="1694"/>
      <c r="O25" s="1694"/>
      <c r="P25" s="1694"/>
      <c r="Q25" s="1728"/>
      <c r="R25" s="1737"/>
      <c r="S25" s="1737"/>
      <c r="T25" s="1737"/>
      <c r="U25" s="1090"/>
      <c r="AF25" s="1732"/>
      <c r="AO25" s="1732"/>
      <c r="AR25" s="872"/>
      <c r="AS25" s="872"/>
      <c r="AT25" s="872"/>
      <c r="AU25" s="872"/>
      <c r="AV25" s="872"/>
    </row>
    <row s="32217" customFormat="1" customHeight="1" ht="14.25" hidden="1">
      <c r="A26" s="1518"/>
      <c r="B26" s="1518"/>
      <c r="C26" s="1518"/>
      <c r="D26" s="1518"/>
      <c r="E26" s="1518"/>
      <c r="F26" s="1518"/>
      <c r="G26" s="1518"/>
      <c r="H26" s="1518"/>
      <c r="I26" s="1518"/>
      <c r="J26" s="1518"/>
      <c r="K26" s="1518"/>
      <c r="L26" s="1518"/>
      <c r="M26" s="1693"/>
      <c r="N26" s="1694"/>
      <c r="O26" s="1694"/>
      <c r="P26" s="1676" t="s">
        <v>457</v>
      </c>
      <c r="Q26" s="1728"/>
      <c r="R26" s="1737"/>
      <c r="S26" s="1737"/>
      <c r="T26" s="1737"/>
      <c r="U26" s="1090"/>
      <c r="V26" s="1523" t="s">
        <v>458</v>
      </c>
      <c r="AD26" s="547" t="s">
        <v>459</v>
      </c>
      <c r="AF26" s="547" t="s">
        <v>460</v>
      </c>
      <c r="AG26" s="1523" t="s">
        <v>458</v>
      </c>
      <c r="AM26" s="547" t="s">
        <v>461</v>
      </c>
      <c r="AO26" s="547" t="s">
        <v>460</v>
      </c>
      <c r="AR26" s="872"/>
      <c r="AS26" s="872"/>
      <c r="AT26" s="872"/>
      <c r="AU26" s="872"/>
      <c r="AV26" s="872"/>
    </row>
    <row customHeight="1" ht="14.25" hidden="1">
      <c r="P27" s="1676"/>
    </row>
    <row customHeight="1" ht="14.25" hidden="1">
      <c r="P28" s="1676"/>
    </row>
    <row customHeight="1" ht="14.25">
      <c r="R29" s="737"/>
      <c r="S29" s="737"/>
      <c r="T29" s="737"/>
      <c r="U29" s="1641"/>
      <c r="V29" s="724"/>
      <c r="W29" s="724"/>
      <c r="X29" s="870"/>
      <c r="Y29" s="870"/>
      <c r="Z29" s="870"/>
      <c r="AA29" s="870"/>
      <c r="AB29" s="870"/>
      <c r="AC29" s="870"/>
      <c r="AD29" s="870"/>
      <c r="AE29" s="870"/>
      <c r="AF29" s="870"/>
      <c r="AG29" s="870"/>
      <c r="AH29" s="870"/>
      <c r="AI29" s="870"/>
      <c r="AJ29" s="870"/>
      <c r="AK29" s="870"/>
      <c r="AL29" s="870"/>
      <c r="AM29" s="870"/>
      <c r="AN29" s="870"/>
      <c r="AO29" s="870"/>
    </row>
    <row customHeight="1" ht="54">
      <c r="R30" s="737"/>
      <c r="S30" s="737"/>
      <c r="T30" s="737"/>
      <c r="U30" s="256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560"/>
      <c r="W30" s="2560"/>
      <c r="X30" s="2560"/>
      <c r="Y30" s="2560"/>
      <c r="Z30" s="2560"/>
      <c r="AA30" s="2560"/>
      <c r="AB30" s="2560"/>
      <c r="AC30" s="2560"/>
      <c r="AD30" s="2560"/>
      <c r="AE30" s="2560"/>
      <c r="AF30" s="2560"/>
      <c r="AG30" s="2560"/>
      <c r="AH30" s="2560"/>
      <c r="AI30" s="2560"/>
      <c r="AJ30" s="2560"/>
      <c r="AK30" s="2560"/>
      <c r="AL30" s="2560"/>
      <c r="AM30" s="2560"/>
      <c r="AN30" s="2560"/>
      <c r="AO30" s="1608"/>
    </row>
    <row customHeight="1" ht="14.25">
      <c r="R31" s="737"/>
      <c r="S31" s="737"/>
      <c r="T31" s="737"/>
      <c r="U31" s="2561" t="str">
        <f>IF(org=0,"Не определено",org)</f>
        <v>АО "Мурманэнергосбыт"</v>
      </c>
      <c r="V31" s="2561"/>
      <c r="W31" s="2561"/>
      <c r="X31" s="2561"/>
      <c r="Y31" s="2561"/>
      <c r="Z31" s="2561"/>
      <c r="AA31" s="2561"/>
      <c r="AB31" s="2561"/>
      <c r="AC31" s="2561"/>
      <c r="AD31" s="2561"/>
      <c r="AE31" s="2561"/>
      <c r="AF31" s="2561"/>
      <c r="AG31" s="2561"/>
      <c r="AH31" s="2561"/>
      <c r="AI31" s="2561"/>
      <c r="AJ31" s="2561"/>
      <c r="AK31" s="2561"/>
      <c r="AL31" s="2561"/>
      <c r="AM31" s="2561"/>
      <c r="AN31" s="2561"/>
      <c r="AO31" s="1608"/>
    </row>
    <row customHeight="1" ht="14.25">
      <c r="R32" s="737"/>
      <c r="S32" s="737"/>
      <c r="T32" s="737"/>
      <c r="U32" s="1641"/>
      <c r="V32" s="724"/>
      <c r="W32" s="724"/>
      <c r="X32" s="683"/>
      <c r="Y32" s="683"/>
      <c r="Z32" s="683"/>
      <c r="AA32" s="683"/>
      <c r="AB32" s="683"/>
      <c r="AC32" s="683"/>
      <c r="AD32" s="683"/>
      <c r="AE32" s="683"/>
      <c r="AF32" s="683"/>
      <c r="AG32" s="683"/>
      <c r="AH32" s="683"/>
      <c r="AI32" s="683"/>
      <c r="AJ32" s="683"/>
      <c r="AK32" s="683"/>
      <c r="AL32" s="683"/>
      <c r="AM32" s="683"/>
      <c r="AN32" s="683"/>
      <c r="AO32" s="683"/>
      <c r="AP32" s="870"/>
    </row>
    <row s="32230" customFormat="1" customHeight="1" ht="25.5">
      <c r="A33" s="1613"/>
      <c r="B33" s="1613"/>
      <c r="C33" s="1613"/>
      <c r="D33" s="1613"/>
      <c r="E33" s="1613"/>
      <c r="F33" s="1613"/>
      <c r="G33" s="1613"/>
      <c r="H33" s="1613"/>
      <c r="I33" s="1613"/>
      <c r="J33" s="1613"/>
      <c r="K33" s="1613"/>
      <c r="L33" s="1613"/>
      <c r="M33" s="1746"/>
      <c r="N33" s="1613"/>
      <c r="O33" s="1613"/>
      <c r="P33" s="1613"/>
      <c r="U33" s="2518" t="s">
        <v>38</v>
      </c>
      <c r="V33" s="2518"/>
      <c r="W33" s="1738"/>
      <c r="X33" s="2520" t="str">
        <f>IF(TITLE_NAME_OR_PR_CHANGE="",IF(TITLE_NAME_OR_PR="","",TITLE_NAME_OR_PR),TITLE_NAME_OR_PR_CHANGE)</f>
        <v>Комитет по тарифному регулированию Мурманской области</v>
      </c>
      <c r="Y33" s="2520"/>
      <c r="Z33" s="2520"/>
      <c r="AA33" s="2520"/>
      <c r="AB33" s="2520"/>
      <c r="AC33" s="2520"/>
      <c r="AD33" s="2520"/>
      <c r="AE33" s="2520"/>
      <c r="AF33" s="687"/>
      <c r="AG33" s="2520" t="str">
        <f>IF(TITLE_NAME_OR_PR_CHANGE="",IF(TITLE_NAME_OR_PR="","",TITLE_NAME_OR_PR),TITLE_NAME_OR_PR_CHANGE)</f>
        <v>Комитет по тарифному регулированию Мурманской области</v>
      </c>
      <c r="AH33" s="2520"/>
      <c r="AI33" s="2520"/>
      <c r="AJ33" s="2520"/>
      <c r="AK33" s="2520"/>
      <c r="AL33" s="2520"/>
      <c r="AM33" s="2520"/>
      <c r="AN33" s="2520"/>
      <c r="AO33" s="687"/>
      <c r="AP33" s="687"/>
      <c r="AQ33" s="641"/>
      <c r="AR33" s="729"/>
      <c r="AS33" s="729"/>
      <c r="AT33" s="729"/>
      <c r="AU33" s="729"/>
      <c r="AV33" s="729"/>
    </row>
    <row s="32230" customFormat="1" customHeight="1" ht="18.75">
      <c r="A34" s="1613"/>
      <c r="B34" s="1613"/>
      <c r="C34" s="1613"/>
      <c r="D34" s="1613"/>
      <c r="E34" s="1613"/>
      <c r="F34" s="1613"/>
      <c r="G34" s="1613"/>
      <c r="H34" s="1613"/>
      <c r="I34" s="1613"/>
      <c r="J34" s="1613"/>
      <c r="K34" s="1613"/>
      <c r="L34" s="1613"/>
      <c r="M34" s="1746"/>
      <c r="N34" s="1613"/>
      <c r="O34" s="1613"/>
      <c r="P34" s="1613"/>
      <c r="U34" s="2518" t="s">
        <v>462</v>
      </c>
      <c r="V34" s="2518"/>
      <c r="W34" s="1738"/>
      <c r="X34" s="2519" t="str">
        <f>IF(TITLE_DATE_PR_CHANGE="",IF(TITLE_DATE_PR="","",TITLE_DATE_PR),TITLE_DATE_PR_CHANGE)</f>
        <v>45280</v>
      </c>
      <c r="Y34" s="2519"/>
      <c r="Z34" s="2519"/>
      <c r="AA34" s="2519"/>
      <c r="AB34" s="2519"/>
      <c r="AC34" s="2519"/>
      <c r="AD34" s="2519"/>
      <c r="AE34" s="2519"/>
      <c r="AF34" s="687"/>
      <c r="AG34" s="2519" t="str">
        <f>IF(TITLE_DATE_PR_CHANGE="",IF(TITLE_DATE_PR="","",TITLE_DATE_PR),TITLE_DATE_PR_CHANGE)</f>
        <v>45280</v>
      </c>
      <c r="AH34" s="2519"/>
      <c r="AI34" s="2519"/>
      <c r="AJ34" s="2519"/>
      <c r="AK34" s="2519"/>
      <c r="AL34" s="2519"/>
      <c r="AM34" s="2519"/>
      <c r="AN34" s="2519"/>
      <c r="AO34" s="687"/>
      <c r="AP34" s="687"/>
      <c r="AQ34" s="641"/>
      <c r="AR34" s="729"/>
      <c r="AS34" s="729"/>
      <c r="AT34" s="729"/>
      <c r="AU34" s="729"/>
      <c r="AV34" s="729"/>
    </row>
    <row s="32230" customFormat="1" customHeight="1" ht="18.75">
      <c r="A35" s="1613"/>
      <c r="B35" s="1613"/>
      <c r="C35" s="1613"/>
      <c r="D35" s="1613"/>
      <c r="E35" s="1613"/>
      <c r="F35" s="1613"/>
      <c r="G35" s="1613"/>
      <c r="H35" s="1613"/>
      <c r="I35" s="1613"/>
      <c r="J35" s="1613"/>
      <c r="K35" s="1613"/>
      <c r="L35" s="1613"/>
      <c r="M35" s="1746"/>
      <c r="N35" s="1613"/>
      <c r="O35" s="1613"/>
      <c r="P35" s="1613"/>
      <c r="U35" s="2518" t="s">
        <v>463</v>
      </c>
      <c r="V35" s="2518"/>
      <c r="W35" s="1738"/>
      <c r="X35" s="2520" t="str">
        <f>IF(TITLE_NUMBER_PR_CHANGE="",IF(TITLE_NUMBER_PR="","",TITLE_NUMBER_PR),TITLE_NUMBER_PR_CHANGE)</f>
        <v>51/16</v>
      </c>
      <c r="Y35" s="2520"/>
      <c r="Z35" s="2520"/>
      <c r="AA35" s="2520"/>
      <c r="AB35" s="2520"/>
      <c r="AC35" s="2520"/>
      <c r="AD35" s="2520"/>
      <c r="AE35" s="2520"/>
      <c r="AF35" s="687"/>
      <c r="AG35" s="2520" t="str">
        <f>IF(TITLE_NUMBER_PR_CHANGE="",IF(TITLE_NUMBER_PR="","",TITLE_NUMBER_PR),TITLE_NUMBER_PR_CHANGE)</f>
        <v>51/16</v>
      </c>
      <c r="AH35" s="2520"/>
      <c r="AI35" s="2520"/>
      <c r="AJ35" s="2520"/>
      <c r="AK35" s="2520"/>
      <c r="AL35" s="2520"/>
      <c r="AM35" s="2520"/>
      <c r="AN35" s="2520"/>
      <c r="AO35" s="687"/>
      <c r="AP35" s="687"/>
      <c r="AQ35" s="641"/>
      <c r="AR35" s="729"/>
      <c r="AS35" s="729"/>
      <c r="AT35" s="729"/>
      <c r="AU35" s="729"/>
      <c r="AV35" s="729"/>
    </row>
    <row s="32230" customFormat="1" customHeight="1" ht="18.75">
      <c r="A36" s="1613"/>
      <c r="B36" s="1613"/>
      <c r="C36" s="1613"/>
      <c r="D36" s="1613"/>
      <c r="E36" s="1613"/>
      <c r="F36" s="1613"/>
      <c r="G36" s="1613"/>
      <c r="H36" s="1613"/>
      <c r="I36" s="1613"/>
      <c r="J36" s="1613"/>
      <c r="K36" s="1613"/>
      <c r="L36" s="1613"/>
      <c r="M36" s="1746"/>
      <c r="N36" s="1613"/>
      <c r="O36" s="1613"/>
      <c r="P36" s="1613"/>
      <c r="U36" s="2518" t="s">
        <v>40</v>
      </c>
      <c r="V36" s="2518"/>
      <c r="W36" s="1738"/>
      <c r="X36" s="2520" t="str">
        <f>IF(TITLE_IST_PUB_CHANGE="",IF(TITLE_IST_PUB="","",TITLE_IST_PUB),TITLE_IST_PUB_CHANGE)</f>
        <v>https://npa.gov-murman.ru/bitrix/components/b1team/govmurman.element.file/download.php?ID=508455&amp;FID=750728</v>
      </c>
      <c r="Y36" s="2520"/>
      <c r="Z36" s="2520"/>
      <c r="AA36" s="2520"/>
      <c r="AB36" s="2520"/>
      <c r="AC36" s="2520"/>
      <c r="AD36" s="2520"/>
      <c r="AE36" s="2520"/>
      <c r="AF36" s="687"/>
      <c r="AG36" s="2520" t="str">
        <f>IF(TITLE_IST_PUB_CHANGE="",IF(TITLE_IST_PUB="","",TITLE_IST_PUB),TITLE_IST_PUB_CHANGE)</f>
        <v>https://npa.gov-murman.ru/bitrix/components/b1team/govmurman.element.file/download.php?ID=508455&amp;FID=750728</v>
      </c>
      <c r="AH36" s="2520"/>
      <c r="AI36" s="2520"/>
      <c r="AJ36" s="2520"/>
      <c r="AK36" s="2520"/>
      <c r="AL36" s="2520"/>
      <c r="AM36" s="2520"/>
      <c r="AN36" s="2520"/>
      <c r="AO36" s="687"/>
      <c r="AP36" s="687"/>
      <c r="AQ36" s="641"/>
      <c r="AR36" s="729"/>
      <c r="AS36" s="729"/>
      <c r="AT36" s="729"/>
      <c r="AU36" s="729"/>
      <c r="AV36" s="729"/>
    </row>
    <row customHeight="1" ht="14.25" hidden="1">
      <c r="R37" s="737"/>
      <c r="S37" s="737"/>
      <c r="T37" s="737"/>
      <c r="U37" s="1641"/>
      <c r="V37" s="724"/>
      <c r="W37" s="724"/>
      <c r="X37" s="683"/>
      <c r="Y37" s="683"/>
      <c r="Z37" s="683"/>
      <c r="AA37" s="683"/>
      <c r="AB37" s="683"/>
      <c r="AC37" s="683"/>
      <c r="AD37" s="683"/>
      <c r="AE37" s="683"/>
      <c r="AF37" s="683"/>
      <c r="AG37" s="683"/>
      <c r="AH37" s="683"/>
      <c r="AI37" s="683"/>
      <c r="AJ37" s="683"/>
      <c r="AK37" s="683"/>
      <c r="AL37" s="683"/>
      <c r="AM37" s="683"/>
      <c r="AN37" s="683"/>
      <c r="AO37" s="683"/>
      <c r="AP37" s="870"/>
    </row>
    <row s="32230" customFormat="1" customHeight="1" ht="18.75" hidden="1">
      <c r="A38" s="1613"/>
      <c r="B38" s="1613"/>
      <c r="C38" s="1613"/>
      <c r="D38" s="1613"/>
      <c r="E38" s="1613"/>
      <c r="F38" s="1613"/>
      <c r="G38" s="1613"/>
      <c r="H38" s="1613"/>
      <c r="I38" s="1613"/>
      <c r="J38" s="1613"/>
      <c r="K38" s="1613"/>
      <c r="L38" s="1613"/>
      <c r="M38" s="1746"/>
      <c r="N38" s="1613"/>
      <c r="O38" s="1613"/>
      <c r="P38" s="1613"/>
      <c r="U38" s="2518" t="s">
        <v>464</v>
      </c>
      <c r="V38" s="2518"/>
      <c r="W38" s="1738"/>
      <c r="X38" s="2519" t="str">
        <f>IF(TITLE_DATE_PR_CHANGE="",IF(TITLE_DATE_PR="","",TITLE_DATE_PR),TITLE_DATE_PR_CHANGE)</f>
        <v>45280</v>
      </c>
      <c r="Y38" s="2519"/>
      <c r="Z38" s="2519"/>
      <c r="AA38" s="2519"/>
      <c r="AB38" s="2519"/>
      <c r="AC38" s="2519"/>
      <c r="AD38" s="2519"/>
      <c r="AE38" s="2519"/>
      <c r="AF38" s="687"/>
      <c r="AG38" s="2519" t="str">
        <f>IF(TITLE_DATE_PR_CHANGE="",IF(TITLE_DATE_PR="","",TITLE_DATE_PR),TITLE_DATE_PR_CHANGE)</f>
        <v>45280</v>
      </c>
      <c r="AH38" s="2519"/>
      <c r="AI38" s="2519"/>
      <c r="AJ38" s="2519"/>
      <c r="AK38" s="2519"/>
      <c r="AL38" s="2519"/>
      <c r="AM38" s="2519"/>
      <c r="AN38" s="2519"/>
      <c r="AO38" s="687"/>
      <c r="AP38" s="687"/>
      <c r="AQ38" s="641"/>
      <c r="AR38" s="729"/>
      <c r="AS38" s="729"/>
      <c r="AT38" s="729"/>
      <c r="AU38" s="729"/>
      <c r="AV38" s="729"/>
    </row>
    <row s="32230" customFormat="1" customHeight="1" ht="18.75" hidden="1">
      <c r="A39" s="1613"/>
      <c r="B39" s="1613"/>
      <c r="C39" s="1613"/>
      <c r="D39" s="1613"/>
      <c r="E39" s="1613"/>
      <c r="F39" s="1613"/>
      <c r="G39" s="1613"/>
      <c r="H39" s="1613"/>
      <c r="I39" s="1613"/>
      <c r="J39" s="1613"/>
      <c r="K39" s="1613"/>
      <c r="L39" s="1613"/>
      <c r="M39" s="1746"/>
      <c r="N39" s="1613"/>
      <c r="O39" s="1613"/>
      <c r="P39" s="1613"/>
      <c r="U39" s="2518" t="s">
        <v>465</v>
      </c>
      <c r="V39" s="2518"/>
      <c r="W39" s="1738"/>
      <c r="X39" s="2520" t="str">
        <f>IF(TITLE_NUMBER_PR_CHANGE="",IF(TITLE_NUMBER_PR="","",TITLE_NUMBER_PR),TITLE_NUMBER_PR_CHANGE)</f>
        <v>51/16</v>
      </c>
      <c r="Y39" s="2520"/>
      <c r="Z39" s="2520"/>
      <c r="AA39" s="2520"/>
      <c r="AB39" s="2520"/>
      <c r="AC39" s="2520"/>
      <c r="AD39" s="2520"/>
      <c r="AE39" s="2520"/>
      <c r="AF39" s="687"/>
      <c r="AG39" s="2520" t="str">
        <f>IF(TITLE_NUMBER_PR_CHANGE="",IF(TITLE_NUMBER_PR="","",TITLE_NUMBER_PR),TITLE_NUMBER_PR_CHANGE)</f>
        <v>51/16</v>
      </c>
      <c r="AH39" s="2520"/>
      <c r="AI39" s="2520"/>
      <c r="AJ39" s="2520"/>
      <c r="AK39" s="2520"/>
      <c r="AL39" s="2520"/>
      <c r="AM39" s="2520"/>
      <c r="AN39" s="2520"/>
      <c r="AO39" s="687"/>
      <c r="AP39" s="687"/>
      <c r="AQ39" s="641"/>
      <c r="AR39" s="729"/>
      <c r="AS39" s="729"/>
      <c r="AT39" s="729"/>
      <c r="AU39" s="729"/>
      <c r="AV39" s="729"/>
    </row>
    <row s="32230" customFormat="1" customHeight="1" ht="0">
      <c r="A40" s="1613"/>
      <c r="B40" s="1613"/>
      <c r="C40" s="1613"/>
      <c r="D40" s="1613"/>
      <c r="E40" s="1613"/>
      <c r="F40" s="1613"/>
      <c r="G40" s="1613"/>
      <c r="H40" s="1613"/>
      <c r="I40" s="1613"/>
      <c r="J40" s="1613"/>
      <c r="K40" s="1613"/>
      <c r="L40" s="1613"/>
      <c r="M40" s="1746"/>
      <c r="N40" s="1613"/>
      <c r="O40" s="1613"/>
      <c r="P40" s="1613"/>
      <c r="U40" s="684"/>
      <c r="V40" s="684"/>
      <c r="W40" s="1706"/>
      <c r="X40" s="687"/>
      <c r="Y40" s="687"/>
      <c r="Z40" s="687"/>
      <c r="AA40" s="687"/>
      <c r="AB40" s="687"/>
      <c r="AC40" s="687"/>
      <c r="AD40" s="687"/>
      <c r="AE40" s="687"/>
      <c r="AF40" s="639" t="s">
        <v>466</v>
      </c>
      <c r="AG40" s="687"/>
      <c r="AH40" s="687"/>
      <c r="AI40" s="687"/>
      <c r="AJ40" s="687"/>
      <c r="AK40" s="687"/>
      <c r="AL40" s="687"/>
      <c r="AM40" s="687"/>
      <c r="AN40" s="687"/>
      <c r="AO40" s="639" t="s">
        <v>466</v>
      </c>
      <c r="AR40" s="729"/>
      <c r="AS40" s="729"/>
      <c r="AT40" s="729"/>
      <c r="AU40" s="729"/>
      <c r="AV40" s="729"/>
    </row>
    <row customHeight="1" ht="14.25">
      <c r="R41" s="737"/>
      <c r="S41" s="737"/>
      <c r="T41" s="737"/>
      <c r="U41" s="1641"/>
      <c r="V41" s="724"/>
      <c r="W41" s="1609"/>
      <c r="X41" s="2544"/>
      <c r="Y41" s="2544"/>
      <c r="Z41" s="2544"/>
      <c r="AA41" s="2544"/>
      <c r="AB41" s="2544"/>
      <c r="AC41" s="2544"/>
      <c r="AD41" s="2544"/>
      <c r="AE41" s="2544"/>
      <c r="AF41" s="2544"/>
      <c r="AG41" s="2544"/>
      <c r="AH41" s="2544"/>
      <c r="AI41" s="2544"/>
      <c r="AJ41" s="2544"/>
      <c r="AK41" s="2544"/>
      <c r="AL41" s="2544"/>
      <c r="AM41" s="2544"/>
      <c r="AN41" s="2544"/>
      <c r="AO41" s="2544"/>
    </row>
    <row customHeight="1" ht="14.25">
      <c r="R42" s="737"/>
      <c r="S42" s="737"/>
      <c r="T42" s="737"/>
      <c r="U42" s="2392" t="s">
        <v>341</v>
      </c>
      <c r="V42" s="2392"/>
      <c r="W42" s="2392"/>
      <c r="X42" s="2392"/>
      <c r="Y42" s="2392"/>
      <c r="Z42" s="2392"/>
      <c r="AA42" s="2392"/>
      <c r="AB42" s="2392"/>
      <c r="AC42" s="2392"/>
      <c r="AD42" s="2392"/>
      <c r="AE42" s="2392"/>
      <c r="AF42" s="2392"/>
      <c r="AG42" s="2392"/>
      <c r="AH42" s="2392"/>
      <c r="AI42" s="2392"/>
      <c r="AJ42" s="2392"/>
      <c r="AK42" s="2392"/>
      <c r="AL42" s="2392"/>
      <c r="AM42" s="2392"/>
      <c r="AN42" s="2392"/>
      <c r="AO42" s="2392"/>
      <c r="AP42" s="2392"/>
      <c r="AQ42" s="2392" t="s">
        <v>342</v>
      </c>
    </row>
    <row customHeight="1" ht="14.25">
      <c r="R43" s="737"/>
      <c r="S43" s="737"/>
      <c r="T43" s="737"/>
      <c r="U43" s="2545" t="s">
        <v>87</v>
      </c>
      <c r="V43" s="2482" t="s">
        <v>467</v>
      </c>
      <c r="W43" s="662"/>
      <c r="X43" s="2546" t="s">
        <v>468</v>
      </c>
      <c r="Y43" s="2568"/>
      <c r="Z43" s="2568"/>
      <c r="AA43" s="2568"/>
      <c r="AB43" s="2568"/>
      <c r="AC43" s="2547"/>
      <c r="AD43" s="2547"/>
      <c r="AE43" s="2548"/>
      <c r="AF43" s="2549" t="s">
        <v>469</v>
      </c>
      <c r="AG43" s="2546" t="s">
        <v>468</v>
      </c>
      <c r="AH43" s="2568"/>
      <c r="AI43" s="2568"/>
      <c r="AJ43" s="2568"/>
      <c r="AK43" s="2568"/>
      <c r="AL43" s="2547"/>
      <c r="AM43" s="2547"/>
      <c r="AN43" s="2548"/>
      <c r="AO43" s="2549" t="s">
        <v>470</v>
      </c>
      <c r="AP43" s="2552" t="s">
        <v>471</v>
      </c>
      <c r="AQ43" s="2392"/>
    </row>
    <row customHeight="1" ht="33.75">
      <c r="R44" s="737"/>
      <c r="S44" s="737"/>
      <c r="T44" s="737"/>
      <c r="U44" s="2545"/>
      <c r="V44" s="2482"/>
      <c r="W44" s="1393"/>
      <c r="X44" s="2566" t="s">
        <v>493</v>
      </c>
      <c r="Y44" s="2575" t="s">
        <v>494</v>
      </c>
      <c r="Z44" s="2575"/>
      <c r="AA44" s="2575"/>
      <c r="AB44" s="2575"/>
      <c r="AC44" s="2566" t="s">
        <v>475</v>
      </c>
      <c r="AD44" s="2584"/>
      <c r="AE44" s="2585"/>
      <c r="AF44" s="2550"/>
      <c r="AG44" s="2566" t="s">
        <v>493</v>
      </c>
      <c r="AH44" s="2575" t="s">
        <v>494</v>
      </c>
      <c r="AI44" s="2575"/>
      <c r="AJ44" s="2575"/>
      <c r="AK44" s="2575"/>
      <c r="AL44" s="2566" t="s">
        <v>475</v>
      </c>
      <c r="AM44" s="2584"/>
      <c r="AN44" s="2585"/>
      <c r="AO44" s="2550"/>
      <c r="AP44" s="2553"/>
      <c r="AQ44" s="2392"/>
    </row>
    <row customHeight="1" ht="14.25">
      <c r="R45" s="737"/>
      <c r="S45" s="737"/>
      <c r="T45" s="737"/>
      <c r="U45" s="2545"/>
      <c r="V45" s="2482"/>
      <c r="W45" s="1393"/>
      <c r="X45" s="2588"/>
      <c r="Y45" s="2576" t="s">
        <v>495</v>
      </c>
      <c r="Z45" s="2541" t="s">
        <v>496</v>
      </c>
      <c r="AA45" s="2579"/>
      <c r="AB45" s="2542"/>
      <c r="AC45" s="2567"/>
      <c r="AD45" s="2586"/>
      <c r="AE45" s="2587"/>
      <c r="AF45" s="2550"/>
      <c r="AG45" s="2588"/>
      <c r="AH45" s="2576" t="s">
        <v>495</v>
      </c>
      <c r="AI45" s="2541" t="s">
        <v>496</v>
      </c>
      <c r="AJ45" s="2579"/>
      <c r="AK45" s="2542"/>
      <c r="AL45" s="2567"/>
      <c r="AM45" s="2586"/>
      <c r="AN45" s="2587"/>
      <c r="AO45" s="2550"/>
      <c r="AP45" s="2553"/>
      <c r="AQ45" s="2392"/>
    </row>
    <row customHeight="1" ht="25.5">
      <c r="R46" s="737"/>
      <c r="S46" s="737"/>
      <c r="T46" s="737"/>
      <c r="U46" s="2545"/>
      <c r="V46" s="2482"/>
      <c r="W46" s="1393"/>
      <c r="X46" s="2588"/>
      <c r="Y46" s="2577"/>
      <c r="Z46" s="2576" t="s">
        <v>497</v>
      </c>
      <c r="AA46" s="2541" t="s">
        <v>498</v>
      </c>
      <c r="AB46" s="2542"/>
      <c r="AC46" s="2576" t="s">
        <v>485</v>
      </c>
      <c r="AD46" s="2580" t="s">
        <v>486</v>
      </c>
      <c r="AE46" s="2581"/>
      <c r="AF46" s="2550"/>
      <c r="AG46" s="2588"/>
      <c r="AH46" s="2577"/>
      <c r="AI46" s="2576" t="s">
        <v>497</v>
      </c>
      <c r="AJ46" s="2541" t="s">
        <v>498</v>
      </c>
      <c r="AK46" s="2542"/>
      <c r="AL46" s="2576" t="s">
        <v>485</v>
      </c>
      <c r="AM46" s="2580" t="s">
        <v>486</v>
      </c>
      <c r="AN46" s="2581"/>
      <c r="AO46" s="2550"/>
      <c r="AP46" s="2553"/>
      <c r="AQ46" s="2392"/>
    </row>
    <row customHeight="1" ht="62.25">
      <c r="A47" s="1625"/>
      <c r="B47" s="1625" t="s">
        <v>143</v>
      </c>
      <c r="C47" s="1625" t="s">
        <v>144</v>
      </c>
      <c r="D47" s="1625" t="s">
        <v>145</v>
      </c>
      <c r="E47" s="1676" t="s">
        <v>476</v>
      </c>
      <c r="F47" s="1676" t="s">
        <v>477</v>
      </c>
      <c r="G47" s="1676" t="s">
        <v>478</v>
      </c>
      <c r="H47" s="1676" t="s">
        <v>479</v>
      </c>
      <c r="I47" s="1676" t="s">
        <v>480</v>
      </c>
      <c r="J47" s="1676" t="s">
        <v>481</v>
      </c>
      <c r="K47" s="1676" t="s">
        <v>482</v>
      </c>
      <c r="L47" s="1676" t="s">
        <v>499</v>
      </c>
      <c r="M47" s="1676" t="s">
        <v>457</v>
      </c>
      <c r="R47" s="737"/>
      <c r="S47" s="737"/>
      <c r="T47" s="737"/>
      <c r="U47" s="2545"/>
      <c r="V47" s="2482"/>
      <c r="W47" s="663"/>
      <c r="X47" s="2567"/>
      <c r="Y47" s="2578"/>
      <c r="Z47" s="2578"/>
      <c r="AA47" s="1587" t="s">
        <v>500</v>
      </c>
      <c r="AB47" s="1587" t="s">
        <v>501</v>
      </c>
      <c r="AC47" s="2578"/>
      <c r="AD47" s="2582"/>
      <c r="AE47" s="2583"/>
      <c r="AF47" s="2551"/>
      <c r="AG47" s="2567"/>
      <c r="AH47" s="2578"/>
      <c r="AI47" s="2578"/>
      <c r="AJ47" s="1587" t="s">
        <v>500</v>
      </c>
      <c r="AK47" s="1587" t="s">
        <v>501</v>
      </c>
      <c r="AL47" s="2578"/>
      <c r="AM47" s="2582"/>
      <c r="AN47" s="2583"/>
      <c r="AO47" s="2551"/>
      <c r="AP47" s="2554"/>
      <c r="AQ47" s="2392"/>
    </row>
    <row s="32049" customFormat="1" customHeight="1" ht="11.25" hidden="1">
      <c r="A48" s="1625"/>
      <c r="B48" s="1625"/>
      <c r="C48" s="1625"/>
      <c r="D48" s="1625"/>
      <c r="E48" s="1625"/>
      <c r="F48" s="1625"/>
      <c r="G48" s="1625"/>
      <c r="H48" s="1625"/>
      <c r="I48" s="1625"/>
      <c r="J48" s="1625"/>
      <c r="K48" s="1625"/>
      <c r="L48" s="1625"/>
      <c r="M48" s="1676"/>
      <c r="N48" s="1694"/>
      <c r="O48" s="1694"/>
      <c r="P48" s="1694"/>
      <c r="Q48" s="1611"/>
      <c r="R48" s="1612"/>
      <c r="S48" s="1619">
        <v>1</v>
      </c>
      <c r="T48" s="1619"/>
      <c r="U48" s="1643" t="s">
        <v>118</v>
      </c>
      <c r="V48" s="1620" t="s">
        <v>102</v>
      </c>
      <c r="W48" s="1610" t="str">
        <f>OFFSET(W48,0,-1)</f>
        <v>2</v>
      </c>
      <c r="X48" s="1701">
        <f>OFFSET(X48,0,-1)+1</f>
        <v>3</v>
      </c>
      <c r="Y48" s="1707"/>
      <c r="Z48" s="1707"/>
      <c r="AA48" s="1707">
        <f>OFFSET(AA48,0,-1)+1</f>
        <v>1</v>
      </c>
      <c r="AB48" s="1707">
        <f>OFFSET(AB48,0,-1)+1</f>
        <v>2</v>
      </c>
      <c r="AC48" s="1701">
        <f>OFFSET(AC48,0,-1)+1</f>
        <v>3</v>
      </c>
      <c r="AD48" s="2543">
        <f>OFFSET(AD48,0,-1)+1</f>
        <v>4</v>
      </c>
      <c r="AE48" s="2543"/>
      <c r="AF48" s="1701">
        <f>OFFSET(AF48,0,-2)+1</f>
        <v>5</v>
      </c>
      <c r="AG48" s="1701">
        <f>OFFSET(AG48,0,-1)+1</f>
        <v>6</v>
      </c>
      <c r="AH48" s="1701"/>
      <c r="AI48" s="1701"/>
      <c r="AJ48" s="1701">
        <f>OFFSET(AJ48,0,-1)+1</f>
        <v>1</v>
      </c>
      <c r="AK48" s="1701">
        <f>OFFSET(AK48,0,-1)+1</f>
        <v>2</v>
      </c>
      <c r="AL48" s="1701">
        <f>OFFSET(AL48,0,-1)+1</f>
        <v>3</v>
      </c>
      <c r="AM48" s="2543">
        <f>OFFSET(AM48,0,-1)+1</f>
        <v>4</v>
      </c>
      <c r="AN48" s="2543"/>
      <c r="AO48" s="1701">
        <f>OFFSET(AO48,0,-2)+1</f>
        <v>5</v>
      </c>
      <c r="AP48" s="1610">
        <f>OFFSET(AP48,0,-1)</f>
        <v>5</v>
      </c>
      <c r="AQ48" s="1701">
        <f>OFFSET(AQ48,0,-1)+1</f>
        <v>6</v>
      </c>
      <c r="AR48" s="872"/>
      <c r="AS48" s="872"/>
      <c r="AT48" s="872"/>
      <c r="AU48" s="872"/>
      <c r="AV48" s="872"/>
    </row>
    <row customHeight="1" ht="21">
      <c r="A49" s="1633" t="s">
        <v>180</v>
      </c>
      <c r="B49" s="1633"/>
      <c r="C49" s="1633"/>
      <c r="D49" s="1633"/>
      <c r="E49" s="2562">
        <v>1</v>
      </c>
      <c r="F49" s="1633"/>
      <c r="G49" s="1633"/>
      <c r="H49" s="1633"/>
      <c r="I49" s="1633"/>
      <c r="J49" s="1633"/>
      <c r="K49" s="1633"/>
      <c r="L49" s="1633"/>
      <c r="M49" s="1676"/>
      <c r="N49" s="1049"/>
      <c r="O49" s="1049"/>
      <c r="P49" s="1049"/>
      <c r="Q49" s="722"/>
      <c r="R49" s="721"/>
      <c r="S49" s="721"/>
      <c r="T49" s="716"/>
      <c r="U49" s="1702">
        <f>INDEX(PT_DIFFERENTIATION_NUM_NTAR,MATCH(A49,PT_DIFFERENTIATION_NTAR_ID,0))</f>
        <v>0</v>
      </c>
      <c r="V49" s="659" t="s">
        <v>131</v>
      </c>
      <c r="W49" s="661"/>
      <c r="X49" s="2521"/>
      <c r="Y49" s="2522"/>
      <c r="Z49" s="2522"/>
      <c r="AA49" s="2522"/>
      <c r="AB49" s="2522"/>
      <c r="AC49" s="2522"/>
      <c r="AD49" s="2522"/>
      <c r="AE49" s="2522"/>
      <c r="AF49" s="2523"/>
      <c r="AG49" s="2521" t="str">
        <f>INDEX(PT_DIFFERENTIATION_NTAR,MATCH(A49,PT_DIFFERENTIATION_NTAR_ID,0))</f>
        <v/>
      </c>
      <c r="AH49" s="2522"/>
      <c r="AI49" s="2522"/>
      <c r="AJ49" s="2522"/>
      <c r="AK49" s="2522"/>
      <c r="AL49" s="2522"/>
      <c r="AM49" s="2522"/>
      <c r="AN49" s="2522"/>
      <c r="AO49" s="2522"/>
      <c r="AP49" s="2523"/>
      <c r="AQ49" s="16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861"/>
      <c r="AT49" s="861" t="str">
        <f>IF(V49="","",V49)</f>
        <v>Наименование тарифа</v>
      </c>
      <c r="AU49" s="861"/>
      <c r="AV49" s="861"/>
    </row>
    <row customHeight="1" ht="21">
      <c r="A50" s="1633" t="s">
        <v>180</v>
      </c>
      <c r="B50" s="1633" t="s">
        <v>181</v>
      </c>
      <c r="C50" s="1633"/>
      <c r="D50" s="1633"/>
      <c r="E50" s="2563"/>
      <c r="F50" s="2562">
        <v>1</v>
      </c>
      <c r="G50" s="1633"/>
      <c r="H50" s="1633"/>
      <c r="I50" s="1633"/>
      <c r="J50" s="1633"/>
      <c r="K50" s="1633"/>
      <c r="L50" s="1633"/>
      <c r="M50" s="1676"/>
      <c r="N50" s="1049"/>
      <c r="O50" s="1049"/>
      <c r="P50" s="1049"/>
      <c r="Q50" s="1698"/>
      <c r="R50" s="713"/>
      <c r="S50" s="870"/>
      <c r="T50" s="714"/>
      <c r="U50" s="1702" t="str">
        <f>INDEX(PT_DIFFERENTIATION_NUM_TER,MATCH(B50,PT_DIFFERENTIATION_TER_ID,0))</f>
        <v>.</v>
      </c>
      <c r="V50" s="669" t="s">
        <v>438</v>
      </c>
      <c r="W50" s="661"/>
      <c r="X50" s="2521"/>
      <c r="Y50" s="2522"/>
      <c r="Z50" s="2522"/>
      <c r="AA50" s="2522"/>
      <c r="AB50" s="2522"/>
      <c r="AC50" s="2522"/>
      <c r="AD50" s="2522"/>
      <c r="AE50" s="2522"/>
      <c r="AF50" s="2523"/>
      <c r="AG50" s="2521" t="str">
        <f>INDEX(PT_DIFFERENTIATION_TER,MATCH(B50,PT_DIFFERENTIATION_TER_ID,0))</f>
        <v/>
      </c>
      <c r="AH50" s="2522"/>
      <c r="AI50" s="2522"/>
      <c r="AJ50" s="2522"/>
      <c r="AK50" s="2522"/>
      <c r="AL50" s="2522"/>
      <c r="AM50" s="2522"/>
      <c r="AN50" s="2522"/>
      <c r="AO50" s="2522"/>
      <c r="AP50" s="2523"/>
      <c r="AQ50" s="1623" t="s">
        <v>439</v>
      </c>
      <c r="AS50" s="861"/>
      <c r="AT50" s="861" t="str">
        <f>IF(V50="","",V50)</f>
        <v>Территория действия тарифа</v>
      </c>
      <c r="AU50" s="861"/>
      <c r="AV50" s="861"/>
    </row>
    <row customHeight="1" ht="22.5">
      <c r="A51" s="1633" t="s">
        <v>180</v>
      </c>
      <c r="B51" s="1633" t="s">
        <v>181</v>
      </c>
      <c r="C51" s="1633" t="s">
        <v>182</v>
      </c>
      <c r="D51" s="1633"/>
      <c r="E51" s="2563"/>
      <c r="F51" s="2563"/>
      <c r="G51" s="2562">
        <v>1</v>
      </c>
      <c r="H51" s="1633"/>
      <c r="I51" s="1633"/>
      <c r="J51" s="1633"/>
      <c r="K51" s="1633"/>
      <c r="L51" s="1633"/>
      <c r="M51" s="1676"/>
      <c r="N51" s="1049"/>
      <c r="O51" s="1049"/>
      <c r="P51" s="1049"/>
      <c r="Q51" s="715"/>
      <c r="R51" s="713"/>
      <c r="S51" s="870"/>
      <c r="T51" s="714"/>
      <c r="U51" s="1702" t="str">
        <f>INDEX(PT_DIFFERENTIATION_NUM_CS,MATCH(C51,PT_DIFFERENTIATION_CS_ID,0))</f>
        <v>..</v>
      </c>
      <c r="V51" s="670" t="s">
        <v>440</v>
      </c>
      <c r="W51" s="661"/>
      <c r="X51" s="2521"/>
      <c r="Y51" s="2522"/>
      <c r="Z51" s="2522"/>
      <c r="AA51" s="2522"/>
      <c r="AB51" s="2522"/>
      <c r="AC51" s="2522"/>
      <c r="AD51" s="2522"/>
      <c r="AE51" s="2522"/>
      <c r="AF51" s="2523"/>
      <c r="AG51" s="2521" t="str">
        <f>INDEX(PT_DIFFERENTIATION_CS,MATCH(C51,PT_DIFFERENTIATION_CS_ID,0))</f>
        <v/>
      </c>
      <c r="AH51" s="2522"/>
      <c r="AI51" s="2522"/>
      <c r="AJ51" s="2522"/>
      <c r="AK51" s="2522"/>
      <c r="AL51" s="2522"/>
      <c r="AM51" s="2522"/>
      <c r="AN51" s="2522"/>
      <c r="AO51" s="2522"/>
      <c r="AP51" s="2523"/>
      <c r="AQ51" s="1623" t="s">
        <v>441</v>
      </c>
      <c r="AS51" s="861"/>
      <c r="AT51" s="861" t="str">
        <f>IF(V51="","",V51)</f>
        <v>Наименование системы теплоснабжения </v>
      </c>
      <c r="AU51" s="861"/>
      <c r="AV51" s="861"/>
    </row>
    <row customHeight="1" ht="21">
      <c r="A52" s="1633" t="s">
        <v>180</v>
      </c>
      <c r="B52" s="1633" t="s">
        <v>181</v>
      </c>
      <c r="C52" s="1633" t="s">
        <v>182</v>
      </c>
      <c r="D52" s="1633" t="s">
        <v>183</v>
      </c>
      <c r="E52" s="2563"/>
      <c r="F52" s="2563"/>
      <c r="G52" s="2563"/>
      <c r="H52" s="2589">
        <v>1</v>
      </c>
      <c r="I52" s="1633"/>
      <c r="J52" s="1633"/>
      <c r="K52" s="1633"/>
      <c r="L52" s="1633"/>
      <c r="M52" s="1676"/>
      <c r="N52" s="1049"/>
      <c r="O52" s="1049"/>
      <c r="P52" s="1049"/>
      <c r="Q52" s="715"/>
      <c r="R52" s="713"/>
      <c r="S52" s="870"/>
      <c r="T52" s="714"/>
      <c r="U52" s="1702" t="str">
        <f>INDEX(PT_DIFFERENTIATION_NUM_IST_TE,MATCH(D52,PT_DIFFERENTIATION_IST_TE_ID,0))</f>
        <v>...</v>
      </c>
      <c r="V52" s="671" t="s">
        <v>442</v>
      </c>
      <c r="W52" s="661"/>
      <c r="X52" s="2521"/>
      <c r="Y52" s="2522"/>
      <c r="Z52" s="2522"/>
      <c r="AA52" s="2522"/>
      <c r="AB52" s="2522"/>
      <c r="AC52" s="2522"/>
      <c r="AD52" s="2522"/>
      <c r="AE52" s="2522"/>
      <c r="AF52" s="2523"/>
      <c r="AG52" s="2521" t="str">
        <f>INDEX(PT_DIFFERENTIATION_IST_TE,MATCH(D52,PT_DIFFERENTIATION_IST_TE_ID,0))</f>
        <v/>
      </c>
      <c r="AH52" s="2522"/>
      <c r="AI52" s="2522"/>
      <c r="AJ52" s="2522"/>
      <c r="AK52" s="2522"/>
      <c r="AL52" s="2522"/>
      <c r="AM52" s="2522"/>
      <c r="AN52" s="2522"/>
      <c r="AO52" s="2522"/>
      <c r="AP52" s="2523"/>
      <c r="AQ52" s="1623" t="s">
        <v>443</v>
      </c>
      <c r="AS52" s="861"/>
      <c r="AT52" s="861" t="str">
        <f>IF(V52="","",V52)</f>
        <v>Источник тепловой энергии  </v>
      </c>
      <c r="AU52" s="861"/>
      <c r="AV52" s="861"/>
    </row>
    <row s="32289" customFormat="1" customHeight="1" ht="0">
      <c r="A53" s="1741" t="s">
        <v>180</v>
      </c>
      <c r="B53" s="1741" t="s">
        <v>181</v>
      </c>
      <c r="C53" s="1741" t="s">
        <v>182</v>
      </c>
      <c r="D53" s="1741" t="s">
        <v>183</v>
      </c>
      <c r="E53" s="2563"/>
      <c r="F53" s="2563"/>
      <c r="G53" s="2563"/>
      <c r="H53" s="2590"/>
      <c r="I53" s="2392" t="str">
        <f>U52&amp;".1"</f>
        <v>....1</v>
      </c>
      <c r="J53" s="1741"/>
      <c r="K53" s="1741"/>
      <c r="L53" s="1741"/>
      <c r="M53" s="1747" t="s">
        <v>444</v>
      </c>
      <c r="N53" s="1611"/>
      <c r="O53" s="1611"/>
      <c r="P53" s="1611"/>
      <c r="Q53" s="2531">
        <v>1</v>
      </c>
      <c r="R53" s="1697"/>
      <c r="S53" s="1697"/>
      <c r="T53" s="717"/>
      <c r="U53" s="1404"/>
      <c r="V53" s="1749"/>
      <c r="W53" s="1750"/>
      <c r="X53" s="2569"/>
      <c r="Y53" s="2570"/>
      <c r="Z53" s="2570"/>
      <c r="AA53" s="2570"/>
      <c r="AB53" s="2570"/>
      <c r="AC53" s="2570"/>
      <c r="AD53" s="2570"/>
      <c r="AE53" s="2570"/>
      <c r="AF53" s="2571"/>
      <c r="AG53" s="2569"/>
      <c r="AH53" s="2570"/>
      <c r="AI53" s="2570"/>
      <c r="AJ53" s="2570"/>
      <c r="AK53" s="2570"/>
      <c r="AL53" s="2570"/>
      <c r="AM53" s="2570"/>
      <c r="AN53" s="2570"/>
      <c r="AO53" s="2570"/>
      <c r="AP53" s="2571"/>
      <c r="AQ53" s="1751"/>
      <c r="AS53" s="861"/>
      <c r="AT53" s="861" t="str">
        <f>IF(V53="","",V53)</f>
        <v/>
      </c>
      <c r="AU53" s="861"/>
      <c r="AV53" s="861"/>
    </row>
    <row customHeight="1" ht="21">
      <c r="A54" s="1633" t="s">
        <v>180</v>
      </c>
      <c r="B54" s="1633" t="s">
        <v>181</v>
      </c>
      <c r="C54" s="1633" t="s">
        <v>182</v>
      </c>
      <c r="D54" s="1633" t="s">
        <v>183</v>
      </c>
      <c r="E54" s="2563"/>
      <c r="F54" s="2563"/>
      <c r="G54" s="2563"/>
      <c r="H54" s="2590"/>
      <c r="I54" s="2376"/>
      <c r="J54" s="2392" t="str">
        <f>I53&amp;".1"</f>
        <v>....1.1</v>
      </c>
      <c r="K54" s="1633"/>
      <c r="L54" s="1633"/>
      <c r="M54" s="1676" t="s">
        <v>447</v>
      </c>
      <c r="Q54" s="2531"/>
      <c r="R54" s="2531">
        <v>1</v>
      </c>
      <c r="S54" s="879"/>
      <c r="T54" s="718"/>
      <c r="U54" s="1702" t="str">
        <f>$J54</f>
        <v>....1.1</v>
      </c>
      <c r="V54" s="647" t="s">
        <v>448</v>
      </c>
      <c r="W54" s="661"/>
      <c r="X54" s="2515"/>
      <c r="Y54" s="2516"/>
      <c r="Z54" s="2516"/>
      <c r="AA54" s="2516"/>
      <c r="AB54" s="2516"/>
      <c r="AC54" s="2508"/>
      <c r="AD54" s="2508"/>
      <c r="AE54" s="2508"/>
      <c r="AF54" s="2591"/>
      <c r="AG54" s="2515"/>
      <c r="AH54" s="2516"/>
      <c r="AI54" s="2516"/>
      <c r="AJ54" s="2516"/>
      <c r="AK54" s="2516"/>
      <c r="AL54" s="2516"/>
      <c r="AM54" s="2516"/>
      <c r="AN54" s="2516"/>
      <c r="AO54" s="2516"/>
      <c r="AP54" s="2517"/>
      <c r="AQ54" s="1623" t="s">
        <v>449</v>
      </c>
      <c r="AS54" s="861"/>
      <c r="AT54" s="861" t="str">
        <f>IF(V54="","",V54)</f>
        <v>Группа потребителей</v>
      </c>
      <c r="AU54" s="861"/>
      <c r="AV54" s="861"/>
    </row>
    <row customHeight="1" ht="21">
      <c r="A55" s="1633" t="s">
        <v>180</v>
      </c>
      <c r="B55" s="1633" t="s">
        <v>181</v>
      </c>
      <c r="C55" s="1633" t="s">
        <v>182</v>
      </c>
      <c r="D55" s="1633" t="s">
        <v>183</v>
      </c>
      <c r="E55" s="2563"/>
      <c r="F55" s="2563"/>
      <c r="G55" s="2563"/>
      <c r="H55" s="2590"/>
      <c r="I55" s="2376"/>
      <c r="J55" s="2376"/>
      <c r="K55" s="2392" t="str">
        <f>J54&amp;".1"</f>
        <v>....1.1.1</v>
      </c>
      <c r="L55" s="501"/>
      <c r="M55" s="1676" t="s">
        <v>450</v>
      </c>
      <c r="Q55" s="2531"/>
      <c r="R55" s="2531"/>
      <c r="S55" s="879">
        <v>1</v>
      </c>
      <c r="T55" s="718"/>
      <c r="U55" s="1702" t="str">
        <f>$K55</f>
        <v>....1.1.1</v>
      </c>
      <c r="V55" s="1713"/>
      <c r="W55" s="661"/>
      <c r="X55" s="1112"/>
      <c r="Y55" s="1112"/>
      <c r="Z55" s="1112"/>
      <c r="AA55" s="1112"/>
      <c r="AB55" s="1771"/>
      <c r="AC55" s="2532"/>
      <c r="AD55" s="2402" t="s">
        <v>66</v>
      </c>
      <c r="AE55" s="2532"/>
      <c r="AF55" s="2402" t="s">
        <v>66</v>
      </c>
      <c r="AG55" s="1773"/>
      <c r="AH55" s="1112"/>
      <c r="AI55" s="1112"/>
      <c r="AJ55" s="1112"/>
      <c r="AK55" s="1622"/>
      <c r="AL55" s="2532"/>
      <c r="AM55" s="2402" t="s">
        <v>66</v>
      </c>
      <c r="AN55" s="2532"/>
      <c r="AO55" s="2402" t="s">
        <v>66</v>
      </c>
      <c r="AP55" s="1714"/>
      <c r="AQ55" s="1673" t="s">
        <v>490</v>
      </c>
      <c r="AR55" s="872">
        <f>STRCHECKDATE(X57:AP57)</f>
      </c>
      <c r="AS55" s="861"/>
      <c r="AT55" s="861" t="str">
        <f>IF(V55="","",V55)</f>
        <v/>
      </c>
      <c r="AU55" s="861"/>
      <c r="AV55" s="861"/>
    </row>
    <row customHeight="1" ht="11.25">
      <c r="A56" s="1633" t="s">
        <v>180</v>
      </c>
      <c r="B56" s="1633" t="s">
        <v>181</v>
      </c>
      <c r="C56" s="1633" t="s">
        <v>182</v>
      </c>
      <c r="D56" s="1633" t="s">
        <v>183</v>
      </c>
      <c r="E56" s="2563"/>
      <c r="F56" s="2563"/>
      <c r="G56" s="2563"/>
      <c r="H56" s="2590"/>
      <c r="I56" s="2376"/>
      <c r="J56" s="2376"/>
      <c r="K56" s="2376"/>
      <c r="L56" s="2392" t="str">
        <f>K55&amp;".1"</f>
        <v>....1.1.1.1</v>
      </c>
      <c r="M56" s="1676"/>
      <c r="Q56" s="2531"/>
      <c r="R56" s="2531"/>
      <c r="S56" s="879">
        <v>1</v>
      </c>
      <c r="T56" s="718"/>
      <c r="U56" s="1702" t="str">
        <f>$L56</f>
        <v>....1.1.1.1</v>
      </c>
      <c r="V56" s="1757"/>
      <c r="W56" s="661"/>
      <c r="X56" s="686"/>
      <c r="Y56" s="1112"/>
      <c r="Z56" s="1112"/>
      <c r="AA56" s="1112"/>
      <c r="AB56" s="1771"/>
      <c r="AC56" s="2574"/>
      <c r="AD56" s="2402"/>
      <c r="AE56" s="2574"/>
      <c r="AF56" s="2402"/>
      <c r="AG56" s="1773"/>
      <c r="AH56" s="1112"/>
      <c r="AI56" s="1112"/>
      <c r="AJ56" s="1112"/>
      <c r="AK56" s="1622"/>
      <c r="AL56" s="2574"/>
      <c r="AM56" s="2402"/>
      <c r="AN56" s="2574"/>
      <c r="AO56" s="2402"/>
      <c r="AP56" s="1714"/>
      <c r="AQ56" s="2557" t="s">
        <v>491</v>
      </c>
      <c r="AR56" s="872">
        <f>STRCHECKDATE(X58:AP58)</f>
      </c>
      <c r="AS56" s="861"/>
      <c r="AT56" s="861" t="str">
        <f>IF(V56="","",V56)</f>
        <v/>
      </c>
      <c r="AU56" s="861"/>
      <c r="AV56" s="861"/>
    </row>
    <row customHeight="1" ht="0">
      <c r="A57" s="1633" t="s">
        <v>180</v>
      </c>
      <c r="B57" s="1633" t="s">
        <v>181</v>
      </c>
      <c r="C57" s="1633" t="s">
        <v>182</v>
      </c>
      <c r="D57" s="1633" t="s">
        <v>183</v>
      </c>
      <c r="E57" s="2563"/>
      <c r="F57" s="2563"/>
      <c r="G57" s="2563"/>
      <c r="H57" s="2590"/>
      <c r="I57" s="2376"/>
      <c r="J57" s="2376"/>
      <c r="K57" s="2376"/>
      <c r="L57" s="2392"/>
      <c r="M57" s="1676"/>
      <c r="Q57" s="2531"/>
      <c r="R57" s="2531"/>
      <c r="S57" s="879"/>
      <c r="T57" s="718"/>
      <c r="U57" s="1708"/>
      <c r="V57" s="661"/>
      <c r="W57" s="661"/>
      <c r="X57" s="686"/>
      <c r="Y57" s="686"/>
      <c r="Z57" s="686"/>
      <c r="AA57" s="686"/>
      <c r="AB57" s="1772" t="str">
        <f>AC55&amp;"-"&amp;AE55</f>
        <v>-</v>
      </c>
      <c r="AC57" s="2574"/>
      <c r="AD57" s="2402"/>
      <c r="AE57" s="2574"/>
      <c r="AF57" s="2402"/>
      <c r="AG57" s="1748"/>
      <c r="AH57" s="686"/>
      <c r="AI57" s="686"/>
      <c r="AJ57" s="686"/>
      <c r="AK57" s="689" t="str">
        <f>AL55&amp;"-"&amp;AN55</f>
        <v>-</v>
      </c>
      <c r="AL57" s="2574"/>
      <c r="AM57" s="2402"/>
      <c r="AN57" s="2574"/>
      <c r="AO57" s="2402"/>
      <c r="AP57" s="1715"/>
      <c r="AQ57" s="2558"/>
      <c r="AS57" s="861"/>
      <c r="AT57" s="861" t="str">
        <f>IF(V57="","",V57)</f>
        <v/>
      </c>
      <c r="AU57" s="861"/>
      <c r="AV57" s="861"/>
    </row>
    <row customHeight="1" ht="11.25">
      <c r="A58" s="1633" t="s">
        <v>180</v>
      </c>
      <c r="B58" s="1633" t="s">
        <v>181</v>
      </c>
      <c r="C58" s="1633" t="s">
        <v>182</v>
      </c>
      <c r="D58" s="1633" t="s">
        <v>183</v>
      </c>
      <c r="E58" s="2563"/>
      <c r="F58" s="2563"/>
      <c r="G58" s="2563"/>
      <c r="H58" s="2590"/>
      <c r="I58" s="2376"/>
      <c r="J58" s="2376"/>
      <c r="K58" s="2392"/>
      <c r="L58" s="1633"/>
      <c r="M58" s="1676"/>
      <c r="Q58" s="2531"/>
      <c r="R58" s="2531"/>
      <c r="S58" s="1697"/>
      <c r="T58" s="717"/>
      <c r="U58" s="1644"/>
      <c r="V58" s="649" t="s">
        <v>492</v>
      </c>
      <c r="W58" s="728"/>
      <c r="X58" s="728"/>
      <c r="Y58" s="728"/>
      <c r="Z58" s="728"/>
      <c r="AA58" s="728"/>
      <c r="AB58" s="728"/>
      <c r="AC58" s="2574"/>
      <c r="AD58" s="2402"/>
      <c r="AE58" s="2574"/>
      <c r="AF58" s="2402"/>
      <c r="AG58" s="728"/>
      <c r="AH58" s="728"/>
      <c r="AI58" s="728"/>
      <c r="AJ58" s="728"/>
      <c r="AK58" s="728"/>
      <c r="AL58" s="2574"/>
      <c r="AM58" s="2402"/>
      <c r="AN58" s="2574"/>
      <c r="AO58" s="2402"/>
      <c r="AP58" s="685"/>
      <c r="AQ58" s="2558"/>
      <c r="AS58" s="861"/>
      <c r="AT58" s="861" t="str">
        <f>IF(V58="","",V58)</f>
        <v>Добавить наименование поставщика</v>
      </c>
      <c r="AU58" s="861"/>
      <c r="AV58" s="861"/>
    </row>
    <row customHeight="1" ht="11.25">
      <c r="A59" s="1633" t="s">
        <v>180</v>
      </c>
      <c r="B59" s="1633" t="s">
        <v>181</v>
      </c>
      <c r="C59" s="1633" t="s">
        <v>182</v>
      </c>
      <c r="D59" s="1633" t="s">
        <v>183</v>
      </c>
      <c r="E59" s="2563"/>
      <c r="F59" s="2563"/>
      <c r="G59" s="2563"/>
      <c r="H59" s="2590"/>
      <c r="I59" s="2376"/>
      <c r="J59" s="2392"/>
      <c r="K59" s="1633"/>
      <c r="L59" s="1633"/>
      <c r="M59" s="1676"/>
      <c r="Q59" s="2531"/>
      <c r="R59" s="2531"/>
      <c r="S59" s="1697"/>
      <c r="T59" s="717"/>
      <c r="U59" s="1644"/>
      <c r="V59" s="648" t="s">
        <v>452</v>
      </c>
      <c r="W59" s="728"/>
      <c r="X59" s="728"/>
      <c r="Y59" s="728"/>
      <c r="Z59" s="728"/>
      <c r="AA59" s="728"/>
      <c r="AB59" s="728"/>
      <c r="AC59" s="1774"/>
      <c r="AD59" s="1774"/>
      <c r="AE59" s="1774"/>
      <c r="AF59" s="1774"/>
      <c r="AG59" s="728"/>
      <c r="AH59" s="728"/>
      <c r="AI59" s="728"/>
      <c r="AJ59" s="728"/>
      <c r="AK59" s="728"/>
      <c r="AL59" s="728"/>
      <c r="AM59" s="728"/>
      <c r="AN59" s="728"/>
      <c r="AO59" s="728"/>
      <c r="AP59" s="685"/>
      <c r="AQ59" s="2559"/>
      <c r="AS59" s="861"/>
      <c r="AT59" s="861" t="str">
        <f>IF(V59="","",V59)</f>
        <v>Добавить вид теплоносителя (параметры теплоносителя)</v>
      </c>
      <c r="AU59" s="861"/>
      <c r="AV59" s="861"/>
    </row>
    <row customHeight="1" ht="11.25">
      <c r="A60" s="1633" t="s">
        <v>180</v>
      </c>
      <c r="B60" s="1633" t="s">
        <v>181</v>
      </c>
      <c r="C60" s="1633" t="s">
        <v>182</v>
      </c>
      <c r="D60" s="1633" t="s">
        <v>183</v>
      </c>
      <c r="E60" s="2563"/>
      <c r="F60" s="2563"/>
      <c r="G60" s="2563"/>
      <c r="H60" s="2590"/>
      <c r="I60" s="2392"/>
      <c r="J60" s="1633"/>
      <c r="K60" s="1633"/>
      <c r="L60" s="1633"/>
      <c r="M60" s="1676"/>
      <c r="Q60" s="2531"/>
      <c r="R60" s="1697"/>
      <c r="S60" s="1697"/>
      <c r="T60" s="717"/>
      <c r="U60" s="1644"/>
      <c r="V60" s="726" t="s">
        <v>453</v>
      </c>
      <c r="W60" s="728"/>
      <c r="X60" s="728"/>
      <c r="Y60" s="728"/>
      <c r="Z60" s="728"/>
      <c r="AA60" s="728"/>
      <c r="AB60" s="728"/>
      <c r="AC60" s="728"/>
      <c r="AD60" s="728"/>
      <c r="AE60" s="728"/>
      <c r="AF60" s="727"/>
      <c r="AG60" s="728"/>
      <c r="AH60" s="728"/>
      <c r="AI60" s="728"/>
      <c r="AJ60" s="728"/>
      <c r="AK60" s="728"/>
      <c r="AL60" s="728"/>
      <c r="AM60" s="728"/>
      <c r="AN60" s="728"/>
      <c r="AO60" s="727"/>
      <c r="AP60" s="728"/>
      <c r="AQ60" s="664"/>
      <c r="AS60" s="861"/>
      <c r="AT60" s="861" t="str">
        <f>IF(V60="","",V60)</f>
        <v>Добавить группу потребителей</v>
      </c>
      <c r="AU60" s="861"/>
      <c r="AV60" s="861"/>
    </row>
    <row customHeight="1" ht="0">
      <c r="A61" s="1633" t="s">
        <v>180</v>
      </c>
      <c r="B61" s="1633" t="s">
        <v>181</v>
      </c>
      <c r="C61" s="1633" t="s">
        <v>182</v>
      </c>
      <c r="D61" s="1633" t="s">
        <v>183</v>
      </c>
      <c r="E61" s="2563"/>
      <c r="F61" s="2563"/>
      <c r="G61" s="2563"/>
      <c r="H61" s="2589"/>
      <c r="I61" s="1633"/>
      <c r="J61" s="1633"/>
      <c r="K61" s="1633"/>
      <c r="L61" s="1633"/>
      <c r="M61" s="1676"/>
      <c r="N61" s="1049"/>
      <c r="O61" s="1049"/>
      <c r="P61" s="870"/>
      <c r="Q61" s="721"/>
      <c r="R61" s="736"/>
      <c r="S61" s="716"/>
      <c r="T61" s="721"/>
      <c r="U61" s="1752"/>
      <c r="V61" s="1753"/>
      <c r="W61" s="1754"/>
      <c r="X61" s="1754"/>
      <c r="Y61" s="1754"/>
      <c r="Z61" s="1754"/>
      <c r="AA61" s="1754"/>
      <c r="AB61" s="1754"/>
      <c r="AC61" s="1754"/>
      <c r="AD61" s="1754"/>
      <c r="AE61" s="1754"/>
      <c r="AF61" s="1754"/>
      <c r="AG61" s="1754"/>
      <c r="AH61" s="1754"/>
      <c r="AI61" s="1754"/>
      <c r="AJ61" s="1754"/>
      <c r="AK61" s="1754"/>
      <c r="AL61" s="1754"/>
      <c r="AM61" s="1754"/>
      <c r="AN61" s="1754"/>
      <c r="AO61" s="1754"/>
      <c r="AP61" s="1754"/>
      <c r="AQ61" s="1755"/>
      <c r="AS61" s="861"/>
      <c r="AT61" s="861" t="str">
        <f>IF(V61="","",V61)</f>
        <v/>
      </c>
      <c r="AU61" s="861"/>
      <c r="AV61" s="861"/>
    </row>
    <row s="32198" customFormat="1" customHeight="1" ht="0">
      <c r="A62" s="1741" t="s">
        <v>180</v>
      </c>
      <c r="B62" s="1741" t="s">
        <v>181</v>
      </c>
      <c r="C62" s="1741" t="s">
        <v>182</v>
      </c>
      <c r="D62" s="1740"/>
      <c r="E62" s="2563"/>
      <c r="F62" s="2563"/>
      <c r="G62" s="2562"/>
      <c r="H62" s="1740"/>
      <c r="I62" s="1740"/>
      <c r="J62" s="1740"/>
      <c r="K62" s="1740"/>
      <c r="L62" s="1740"/>
      <c r="M62" s="1743"/>
      <c r="N62" s="1744"/>
      <c r="O62" s="1744"/>
      <c r="P62" s="712"/>
      <c r="Q62" s="1682"/>
      <c r="R62" s="1683"/>
      <c r="S62" s="1682"/>
      <c r="T62" s="1682"/>
      <c r="U62" s="1688"/>
      <c r="V62" s="1691" t="s">
        <v>455</v>
      </c>
      <c r="W62" s="1690"/>
      <c r="X62" s="1690"/>
      <c r="Y62" s="1690"/>
      <c r="Z62" s="1690"/>
      <c r="AA62" s="1690"/>
      <c r="AB62" s="1690"/>
      <c r="AC62" s="1690"/>
      <c r="AD62" s="1690"/>
      <c r="AE62" s="1690"/>
      <c r="AF62" s="1690"/>
      <c r="AG62" s="1690"/>
      <c r="AH62" s="1690"/>
      <c r="AI62" s="1690"/>
      <c r="AJ62" s="1690"/>
      <c r="AK62" s="1690"/>
      <c r="AL62" s="1690"/>
      <c r="AM62" s="1690"/>
      <c r="AN62" s="1690"/>
      <c r="AO62" s="1690"/>
      <c r="AP62" s="1690"/>
      <c r="AQ62" s="1690"/>
      <c r="AS62" s="1150"/>
      <c r="AT62" s="1150" t="str">
        <f>IF(V62="","",V62)</f>
        <v>Добавить источник для дифференциации</v>
      </c>
      <c r="AU62" s="1150"/>
      <c r="AV62" s="1150"/>
    </row>
    <row s="32198" customFormat="1" customHeight="1" ht="0">
      <c r="A63" s="1741" t="s">
        <v>180</v>
      </c>
      <c r="B63" s="1741" t="s">
        <v>181</v>
      </c>
      <c r="C63" s="1740"/>
      <c r="D63" s="1740"/>
      <c r="E63" s="2563"/>
      <c r="F63" s="2562"/>
      <c r="G63" s="1740"/>
      <c r="H63" s="1740"/>
      <c r="I63" s="1740"/>
      <c r="J63" s="1740"/>
      <c r="K63" s="1740"/>
      <c r="L63" s="1740"/>
      <c r="M63" s="1743"/>
      <c r="N63" s="1745"/>
      <c r="O63" s="1745"/>
      <c r="P63" s="712"/>
      <c r="Q63" s="1682"/>
      <c r="R63" s="1683"/>
      <c r="S63" s="1682"/>
      <c r="T63" s="1682"/>
      <c r="U63" s="1688"/>
      <c r="V63" s="1691" t="s">
        <v>262</v>
      </c>
      <c r="W63" s="1690"/>
      <c r="X63" s="1690"/>
      <c r="Y63" s="1690"/>
      <c r="Z63" s="1690"/>
      <c r="AA63" s="1690"/>
      <c r="AB63" s="1690"/>
      <c r="AC63" s="1690"/>
      <c r="AD63" s="1690"/>
      <c r="AE63" s="1690"/>
      <c r="AF63" s="1690"/>
      <c r="AG63" s="1690"/>
      <c r="AH63" s="1690"/>
      <c r="AI63" s="1690"/>
      <c r="AJ63" s="1690"/>
      <c r="AK63" s="1690"/>
      <c r="AL63" s="1690"/>
      <c r="AM63" s="1690"/>
      <c r="AN63" s="1690"/>
      <c r="AO63" s="1690"/>
      <c r="AP63" s="1690"/>
      <c r="AQ63" s="1690"/>
      <c r="AS63" s="1150"/>
      <c r="AT63" s="1150" t="str">
        <f>IF(V63="","",V63)</f>
        <v>Добавить централизованную систему для дифференциации</v>
      </c>
      <c r="AU63" s="1150"/>
      <c r="AV63" s="1150"/>
    </row>
    <row s="32289" customFormat="1" customHeight="1" ht="0">
      <c r="A64" s="1741" t="s">
        <v>180</v>
      </c>
      <c r="B64" s="1741"/>
      <c r="C64" s="1741"/>
      <c r="D64" s="1741"/>
      <c r="E64" s="2562"/>
      <c r="F64" s="1741"/>
      <c r="G64" s="1741"/>
      <c r="H64" s="1741"/>
      <c r="I64" s="1741"/>
      <c r="J64" s="1741"/>
      <c r="K64" s="1741"/>
      <c r="L64" s="1741"/>
      <c r="M64" s="1747"/>
      <c r="N64" s="1745"/>
      <c r="O64" s="1745"/>
      <c r="P64" s="712"/>
      <c r="Q64" s="741"/>
      <c r="R64" s="1710"/>
      <c r="S64" s="741"/>
      <c r="T64" s="741"/>
      <c r="U64" s="1688"/>
      <c r="V64" s="1691" t="s">
        <v>270</v>
      </c>
      <c r="W64" s="1690"/>
      <c r="X64" s="1690"/>
      <c r="Y64" s="1690"/>
      <c r="Z64" s="1690"/>
      <c r="AA64" s="1690"/>
      <c r="AB64" s="1690"/>
      <c r="AC64" s="1690"/>
      <c r="AD64" s="1690"/>
      <c r="AE64" s="1690"/>
      <c r="AF64" s="1690"/>
      <c r="AG64" s="1690"/>
      <c r="AH64" s="1690"/>
      <c r="AI64" s="1690"/>
      <c r="AJ64" s="1690"/>
      <c r="AK64" s="1690"/>
      <c r="AL64" s="1690"/>
      <c r="AM64" s="1690"/>
      <c r="AN64" s="1690"/>
      <c r="AO64" s="1690"/>
      <c r="AP64" s="1690"/>
      <c r="AQ64" s="1690"/>
      <c r="AS64" s="861"/>
      <c r="AT64" s="861" t="str">
        <f>IF(V64="","",V64)</f>
        <v>Добавить территорию для дифференциации</v>
      </c>
      <c r="AU64" s="861"/>
      <c r="AV64" s="861"/>
    </row>
    <row s="32198" customFormat="1" customHeight="1" ht="5.25">
      <c r="A65" s="1740"/>
      <c r="B65" s="1740"/>
      <c r="C65" s="1740"/>
      <c r="D65" s="1740"/>
      <c r="E65" s="1741"/>
      <c r="F65" s="1740"/>
      <c r="G65" s="1740"/>
      <c r="H65" s="1740"/>
      <c r="I65" s="1740"/>
      <c r="J65" s="1740"/>
      <c r="K65" s="1740"/>
      <c r="L65" s="1740"/>
      <c r="M65" s="1743"/>
      <c r="N65" s="1745"/>
      <c r="O65" s="1745"/>
      <c r="P65" s="712"/>
      <c r="Q65" s="1682"/>
      <c r="R65" s="1683"/>
      <c r="S65" s="1682"/>
      <c r="T65" s="1682"/>
      <c r="U65" s="1688"/>
      <c r="V65" s="1691" t="s">
        <v>294</v>
      </c>
      <c r="W65" s="1690"/>
      <c r="X65" s="1690"/>
      <c r="Y65" s="1690"/>
      <c r="Z65" s="1690"/>
      <c r="AA65" s="1690"/>
      <c r="AB65" s="1690"/>
      <c r="AC65" s="1690"/>
      <c r="AD65" s="1690"/>
      <c r="AE65" s="1690"/>
      <c r="AF65" s="1690"/>
      <c r="AG65" s="1690"/>
      <c r="AH65" s="1690"/>
      <c r="AI65" s="1690"/>
      <c r="AJ65" s="1690"/>
      <c r="AK65" s="1690"/>
      <c r="AL65" s="1690"/>
      <c r="AM65" s="1690"/>
      <c r="AN65" s="1690"/>
      <c r="AO65" s="1690"/>
      <c r="AP65" s="1690"/>
      <c r="AQ65" s="1690"/>
      <c r="AS65" s="1150"/>
      <c r="AT65" s="1150" t="str">
        <f>IF(V65="","",V65)</f>
        <v>Добавить наименование тарифа</v>
      </c>
      <c r="AU65" s="1150"/>
      <c r="AV65" s="1150"/>
    </row>
    <row customHeight="1" ht="11.25">
      <c r="N66" s="1518"/>
      <c r="O66" s="1518"/>
      <c r="P66" s="870"/>
      <c r="Q66" s="1518"/>
      <c r="R66" s="1518"/>
      <c r="S66" s="1518"/>
      <c r="T66" s="1518"/>
      <c r="U66" s="1518"/>
      <c r="AR66" s="1518"/>
      <c r="AS66" s="1518"/>
      <c r="AT66" s="1518"/>
      <c r="AU66" s="1518"/>
      <c r="AV66" s="1518"/>
    </row>
    <row customHeight="1" ht="33.75">
      <c r="P67" s="870"/>
      <c r="U67" s="1618"/>
      <c r="V67" s="2526"/>
      <c r="W67" s="2526"/>
      <c r="X67" s="2526"/>
      <c r="Y67" s="2526"/>
      <c r="Z67" s="2526"/>
      <c r="AA67" s="2526"/>
      <c r="AB67" s="2526"/>
      <c r="AC67" s="2526"/>
      <c r="AD67" s="2526"/>
      <c r="AE67" s="2526"/>
      <c r="AF67" s="2526"/>
      <c r="AG67" s="2526"/>
      <c r="AH67" s="2526"/>
      <c r="AI67" s="2526"/>
      <c r="AJ67" s="2526"/>
      <c r="AK67" s="2526"/>
      <c r="AL67" s="2526"/>
      <c r="AM67" s="2526"/>
      <c r="AN67" s="2526"/>
      <c r="AO67" s="2526"/>
      <c r="AP67" s="2526"/>
      <c r="AQ67" s="2526"/>
    </row>
    <row customHeight="1" ht="19.5">
      <c r="P68" s="870"/>
      <c r="V68" s="2526"/>
      <c r="W68" s="2526"/>
      <c r="X68" s="2526"/>
      <c r="Y68" s="2526"/>
      <c r="Z68" s="2526"/>
      <c r="AA68" s="2526"/>
      <c r="AB68" s="2526"/>
      <c r="AC68" s="2526"/>
      <c r="AD68" s="2526"/>
      <c r="AE68" s="2526"/>
      <c r="AF68" s="2526"/>
      <c r="AG68" s="2526"/>
      <c r="AH68" s="2526"/>
      <c r="AI68" s="2526"/>
      <c r="AJ68" s="2526"/>
      <c r="AK68" s="2526"/>
      <c r="AL68" s="2526"/>
      <c r="AM68" s="2526"/>
      <c r="AN68" s="2526"/>
      <c r="AO68" s="2526"/>
      <c r="AP68" s="2526"/>
      <c r="AQ68" s="2526"/>
    </row>
    <row customHeight="1" ht="14.25">
      <c r="P69" s="870"/>
    </row>
    <row customHeight="1" ht="27">
      <c r="P70" s="870"/>
      <c r="V70" s="2526"/>
      <c r="W70" s="2526"/>
      <c r="X70" s="2526"/>
      <c r="Y70" s="2526"/>
      <c r="Z70" s="2526"/>
      <c r="AA70" s="2526"/>
      <c r="AB70" s="2526"/>
      <c r="AC70" s="2526"/>
      <c r="AD70" s="2526"/>
      <c r="AE70" s="2526"/>
      <c r="AF70" s="2526"/>
      <c r="AG70" s="2526"/>
      <c r="AH70" s="2526"/>
      <c r="AI70" s="2526"/>
      <c r="AJ70" s="2526"/>
      <c r="AK70" s="2526"/>
      <c r="AL70" s="2526"/>
      <c r="AM70" s="2526"/>
      <c r="AN70" s="2526"/>
      <c r="AO70" s="2526"/>
      <c r="AP70" s="2526"/>
      <c r="AQ70" s="2526"/>
    </row>
    <row customHeight="1" ht="18">
      <c r="P71" s="870"/>
      <c r="V71" s="2526"/>
      <c r="W71" s="2526"/>
      <c r="X71" s="2526"/>
      <c r="Y71" s="2526"/>
      <c r="Z71" s="2526"/>
      <c r="AA71" s="2526"/>
      <c r="AB71" s="2526"/>
      <c r="AC71" s="2526"/>
      <c r="AD71" s="2526"/>
      <c r="AE71" s="2526"/>
      <c r="AF71" s="2526"/>
      <c r="AG71" s="2526"/>
      <c r="AH71" s="2526"/>
      <c r="AI71" s="2526"/>
      <c r="AJ71" s="2526"/>
      <c r="AK71" s="2526"/>
      <c r="AL71" s="2526"/>
      <c r="AM71" s="2526"/>
      <c r="AN71" s="2526"/>
      <c r="AO71" s="2526"/>
      <c r="AP71" s="2526"/>
      <c r="AQ71" s="2526"/>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5623787-3DA9-AF42-68F7-9E5276136CEF}" mc:Ignorable="x14ac xr xr2 xr3">
  <sheetPr>
    <tabColor rgb="FFCCCCFF"/>
  </sheetPr>
  <dimension ref="A1:P78"/>
  <sheetViews>
    <sheetView topLeftCell="A1" showGridLines="0" zoomScale="90" workbookViewId="0">
      <selection activeCell="F49" sqref="F49"/>
    </sheetView>
  </sheetViews>
  <sheetFormatPr defaultColWidth="9.140625" customHeight="1" defaultRowHeight="11.25"/>
  <cols>
    <col min="1" max="1" style="31447" width="10.7109375" hidden="1" customWidth="1"/>
    <col min="2" max="2" style="31448" width="10.7109375" hidden="1" customWidth="1"/>
    <col min="3" max="3" style="31449" width="3.7109375" customWidth="1"/>
    <col min="4" max="4" style="31450" width="1.7109375" customWidth="1"/>
    <col min="5" max="5" style="31450" width="55.28125" customWidth="1"/>
    <col min="6" max="6" style="31450" width="55.00390625" customWidth="1"/>
    <col min="7" max="7" style="31451" width="1.7109375" customWidth="1"/>
    <col min="8" max="8" style="31374" width="18.00390625" hidden="1" customWidth="1"/>
    <col min="9" max="9" style="31452" width="59.7109375" customWidth="1"/>
    <col min="10" max="10" style="31453" width="52.140625" hidden="1" customWidth="1"/>
    <col min="11" max="11" style="31450" width="9.140625"/>
    <col min="12" max="12" style="31450" width="78.00390625" customWidth="1"/>
    <col min="13" max="16" style="31450" width="9.140625"/>
  </cols>
  <sheetData>
    <row s="31333" customFormat="1" customHeight="1" ht="3">
      <c r="A1" s="1144"/>
      <c r="B1" s="602"/>
      <c r="F1" s="603">
        <v>26354809</v>
      </c>
      <c r="G1" s="772"/>
      <c r="H1" s="432"/>
      <c r="I1" s="772"/>
      <c r="J1" s="1232"/>
    </row>
    <row s="31340" customFormat="1" customHeight="1" ht="14.25">
      <c r="A2" s="1144"/>
      <c r="B2" s="460"/>
      <c r="E2" s="2106" t="str">
        <f>code</f>
        <v>Код отчёта: PP108.OPEN.INFO.PRICE.HOTVSNA.EIAS</v>
      </c>
      <c r="F2" s="630"/>
      <c r="G2" s="606"/>
      <c r="H2" s="606"/>
      <c r="I2" s="606"/>
      <c r="J2" s="1233"/>
      <c r="K2" s="606"/>
    </row>
    <row customHeight="1" ht="14.25">
      <c r="E3" s="607" t="str">
        <f>version</f>
        <v>Версия отчёта: 1.0.7</v>
      </c>
      <c r="F3" s="630"/>
      <c r="G3" s="1131"/>
      <c r="H3" s="1131"/>
      <c r="I3" s="1131"/>
      <c r="J3" s="1234"/>
      <c r="K3" s="449"/>
    </row>
    <row s="31350" customFormat="1" customHeight="1" ht="6">
      <c r="A4" s="1145"/>
      <c r="B4" s="593"/>
      <c r="C4" s="594"/>
      <c r="D4" s="595"/>
      <c r="E4" s="604"/>
      <c r="F4" s="605"/>
      <c r="G4" s="1132"/>
      <c r="H4" s="770"/>
      <c r="I4" s="772"/>
      <c r="J4" s="1235"/>
    </row>
    <row customHeight="1" ht="37.5">
      <c r="D5" s="436"/>
      <c r="E5" s="2370" t="str">
        <f>NameTemplatesInTitle</f>
        <v>Показатели, подлежащие раскрытию в сфере горячего водоснабжения (цены и тарифы)</v>
      </c>
      <c r="F5" s="2371"/>
      <c r="G5" s="1133"/>
      <c r="J5" s="1236"/>
    </row>
    <row s="31350" customFormat="1" customHeight="1" ht="6">
      <c r="A6" s="1145"/>
      <c r="B6" s="593"/>
      <c r="C6" s="594"/>
      <c r="D6" s="595"/>
      <c r="E6" s="598"/>
      <c r="F6" s="599"/>
      <c r="G6" s="1133"/>
      <c r="H6" s="770"/>
      <c r="I6" s="772"/>
      <c r="J6" s="1235"/>
    </row>
    <row customHeight="1" ht="19.5">
      <c r="D7" s="436"/>
      <c r="E7" s="752" t="s">
        <v>13</v>
      </c>
      <c r="F7" s="576" t="s">
        <v>14</v>
      </c>
      <c r="G7" s="1133"/>
    </row>
    <row s="31350" customFormat="1" customHeight="1" ht="6">
      <c r="A8" s="1146"/>
      <c r="B8" s="593"/>
      <c r="C8" s="594"/>
      <c r="D8" s="600"/>
      <c r="E8" s="598"/>
      <c r="F8" s="601"/>
      <c r="G8" s="438"/>
      <c r="H8" s="770"/>
      <c r="I8" s="772"/>
      <c r="J8" s="1238"/>
    </row>
    <row s="31374" customFormat="1" customHeight="1" ht="19.5" hidden="1">
      <c r="A9" s="1145"/>
      <c r="B9" s="460"/>
      <c r="C9" s="769"/>
      <c r="D9" s="771"/>
      <c r="E9" s="1528" t="s">
        <v>15</v>
      </c>
      <c r="F9" s="2288"/>
      <c r="G9" s="1133"/>
      <c r="I9" s="2267" t="str">
        <f>IF(TITLE_STRUCTURE_INFO_ROIV="","","раскрывается "&amp;INDEX(ROIV_INFO_COMMENT,MATCH(TITLE_STRUCTURE_INFO_ROIV,ROIV_INFO_LIST,0)))</f>
        <v/>
      </c>
      <c r="J9" s="1237"/>
    </row>
    <row s="31381" customFormat="1" customHeight="1" ht="6">
      <c r="A10" s="1146"/>
      <c r="B10" s="787"/>
      <c r="C10" s="788"/>
      <c r="D10" s="600"/>
      <c r="E10" s="598"/>
      <c r="F10" s="601"/>
      <c r="G10" s="438"/>
      <c r="H10" s="770"/>
      <c r="I10" s="772"/>
      <c r="J10" s="1238"/>
    </row>
    <row customHeight="1" ht="22.5">
      <c r="A11" s="2373" t="s">
        <v>16</v>
      </c>
      <c r="D11" s="436"/>
      <c r="E11" s="1528" t="s">
        <v>17</v>
      </c>
      <c r="F11" s="5412">
        <v>44896</v>
      </c>
      <c r="G11" s="438"/>
      <c r="H11" s="1134" t="s">
        <v>18</v>
      </c>
      <c r="J11" s="1237" t="s">
        <v>19</v>
      </c>
    </row>
    <row customHeight="1" ht="22.5">
      <c r="A12" s="2373"/>
      <c r="D12" s="436"/>
      <c r="E12" s="1528" t="s">
        <v>20</v>
      </c>
      <c r="F12" s="5412">
        <v>47118</v>
      </c>
      <c r="G12" s="434"/>
      <c r="J12" s="1237" t="s">
        <v>21</v>
      </c>
    </row>
    <row s="31374" customFormat="1" customHeight="1" ht="22.5" hidden="1">
      <c r="A13" s="1149" t="s">
        <v>22</v>
      </c>
      <c r="B13" s="460"/>
      <c r="C13" s="769"/>
      <c r="D13" s="771"/>
      <c r="E13" s="2141" t="s">
        <v>23</v>
      </c>
      <c r="F13" s="2098" t="s">
        <v>24</v>
      </c>
      <c r="G13" s="438"/>
      <c r="H13" s="1131"/>
      <c r="I13" s="772"/>
      <c r="J13" s="2142" t="s">
        <v>25</v>
      </c>
    </row>
    <row s="31374" customFormat="1" customHeight="1" ht="27" hidden="1">
      <c r="A14" s="1149" t="s">
        <v>26</v>
      </c>
      <c r="B14" s="460"/>
      <c r="C14" s="769"/>
      <c r="D14" s="771"/>
      <c r="E14" s="1528" t="s">
        <v>27</v>
      </c>
      <c r="F14" s="2133"/>
      <c r="G14" s="438"/>
      <c r="H14" s="1131"/>
      <c r="I14" s="772"/>
      <c r="J14" s="1237" t="s">
        <v>28</v>
      </c>
    </row>
    <row s="31374" customFormat="1" customHeight="1" ht="19.5" hidden="1">
      <c r="A15" s="1149" t="s">
        <v>29</v>
      </c>
      <c r="B15" s="460"/>
      <c r="C15" s="769"/>
      <c r="D15" s="771"/>
      <c r="E15" s="1528" t="s">
        <v>30</v>
      </c>
      <c r="F15" s="2133"/>
      <c r="G15" s="438"/>
      <c r="H15" s="1131"/>
      <c r="I15" s="772"/>
      <c r="J15" s="1237" t="s">
        <v>31</v>
      </c>
    </row>
    <row s="31350" customFormat="1" customHeight="1" ht="6">
      <c r="A16" s="1146"/>
      <c r="B16" s="593"/>
      <c r="C16" s="594"/>
      <c r="D16" s="600"/>
      <c r="E16" s="598"/>
      <c r="F16" s="601"/>
      <c r="G16" s="438"/>
      <c r="H16" s="770"/>
      <c r="I16" s="772"/>
      <c r="J16" s="1235"/>
    </row>
    <row customHeight="1" ht="19.5">
      <c r="D17" s="436"/>
      <c r="E17" s="752" t="s">
        <v>32</v>
      </c>
      <c r="F17" s="5420" t="s">
        <v>33</v>
      </c>
      <c r="G17" s="434"/>
      <c r="H17" s="1134" t="s">
        <v>18</v>
      </c>
    </row>
    <row customHeight="1" ht="25.5">
      <c r="D18" s="436"/>
      <c r="E18" s="2141" t="s">
        <v>34</v>
      </c>
      <c r="F18" s="5421">
        <v>45280</v>
      </c>
      <c r="G18" s="434"/>
      <c r="I18" s="1135"/>
      <c r="J18" s="2372" t="s">
        <v>35</v>
      </c>
    </row>
    <row customHeight="1" ht="25.5">
      <c r="D19" s="436"/>
      <c r="E19" s="152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5421">
        <v>45292</v>
      </c>
      <c r="G19" s="434"/>
      <c r="I19" s="1135"/>
      <c r="J19" s="2372"/>
    </row>
    <row customHeight="1" ht="22.5">
      <c r="D20" s="436"/>
      <c r="E20" s="437"/>
      <c r="F20" s="631" t="str">
        <f>"Первичное "&amp;IF(TEMPLATE_GROUP="P","установление тарифов","предложение по тарифам")</f>
        <v>Первичное установление тарифов</v>
      </c>
      <c r="G20" s="434"/>
      <c r="I20" s="755"/>
      <c r="J20" s="1236" t="s">
        <v>36</v>
      </c>
    </row>
    <row customHeight="1" ht="19.5">
      <c r="D21" s="436"/>
      <c r="E21" s="752" t="str">
        <f>"Дата "&amp;IF(TEMPLATE_GROUP="P","документа","подачи заявления")&amp;" об утверждении тарифов"</f>
        <v>Дата документа об утверждении тарифов</v>
      </c>
      <c r="F21" s="5412">
        <v>44883</v>
      </c>
      <c r="G21" s="434"/>
      <c r="I21" s="1136"/>
    </row>
    <row customHeight="1" ht="19.5">
      <c r="D22" s="436"/>
      <c r="E22" s="752" t="str">
        <f>"Номер "&amp;IF(TEMPLATE_GROUP="P","документа","подачи заявления")&amp;" об утверждении тарифов"</f>
        <v>Номер документа об утверждении тарифов</v>
      </c>
      <c r="F22" s="577" t="s">
        <v>37</v>
      </c>
      <c r="G22" s="434"/>
      <c r="I22" s="1136"/>
    </row>
    <row customHeight="1" ht="22.5">
      <c r="D23" s="436"/>
      <c r="E23" s="752" t="s">
        <v>38</v>
      </c>
      <c r="F23" s="577" t="s">
        <v>39</v>
      </c>
      <c r="G23" s="434"/>
    </row>
    <row customHeight="1" ht="19.5">
      <c r="D24" s="436"/>
      <c r="E24" s="752" t="s">
        <v>40</v>
      </c>
      <c r="F24" s="5429" t="s">
        <v>41</v>
      </c>
      <c r="G24" s="434"/>
    </row>
    <row customHeight="1" ht="22.5">
      <c r="D25" s="436"/>
      <c r="E25" s="437"/>
      <c r="F25" s="631" t="str">
        <f>"Изменение "&amp;IF(TEMPLATE_GROUP="P","тарифов","предложения по тарифам")</f>
        <v>Изменение тарифов</v>
      </c>
      <c r="G25" s="434"/>
      <c r="J25" s="1236" t="s">
        <v>42</v>
      </c>
    </row>
    <row customHeight="1" ht="19.5">
      <c r="D26" s="436"/>
      <c r="E26" s="752" t="str">
        <f>"Дата "&amp;IF(TEMPLATE_GROUP="P","принятия решения","подачи заявления")&amp;" об изменении тарифов"</f>
        <v>Дата принятия решения об изменении тарифов</v>
      </c>
      <c r="F26" s="5421">
        <v>45280</v>
      </c>
      <c r="G26" s="434"/>
    </row>
    <row customHeight="1" ht="19.5">
      <c r="D27" s="436"/>
      <c r="E27" s="1528" t="str">
        <f>"Номер "&amp;IF(TEMPLATE_GROUP="P","принятия решения","заявления")&amp;" об изменении тарифов"</f>
        <v>Номер принятия решения об изменении тарифов</v>
      </c>
      <c r="F27" s="5430" t="s">
        <v>43</v>
      </c>
      <c r="G27" s="434"/>
    </row>
    <row customHeight="1" ht="24.75">
      <c r="D28" s="436"/>
      <c r="E28" s="752" t="s">
        <v>44</v>
      </c>
      <c r="F28" s="5430" t="s">
        <v>39</v>
      </c>
      <c r="G28" s="434"/>
    </row>
    <row customHeight="1" ht="19.5">
      <c r="D29" s="436"/>
      <c r="E29" s="752" t="s">
        <v>40</v>
      </c>
      <c r="F29" s="5431" t="s">
        <v>45</v>
      </c>
      <c r="G29" s="434"/>
    </row>
    <row s="31350" customFormat="1" customHeight="1" ht="6">
      <c r="A30" s="1146"/>
      <c r="B30" s="593"/>
      <c r="C30" s="594"/>
      <c r="D30" s="600"/>
      <c r="E30" s="598"/>
      <c r="F30" s="601"/>
      <c r="G30" s="438"/>
      <c r="H30" s="770"/>
      <c r="I30" s="772"/>
      <c r="J30" s="1235"/>
    </row>
    <row customHeight="1" ht="19.5">
      <c r="C31" s="439"/>
      <c r="D31" s="440"/>
      <c r="E31" s="752" t="str">
        <f>"Наименование "&amp;IF(TEMPLATE_GROUP="ROIV","органа тарифного регулирования","ЮЛ / ИП")</f>
        <v>Наименование ЮЛ / ИП</v>
      </c>
      <c r="F31" s="578" t="s">
        <v>46</v>
      </c>
      <c r="G31" s="1137"/>
    </row>
    <row customHeight="1" ht="19.5" hidden="1">
      <c r="C32" s="439"/>
      <c r="D32" s="440"/>
      <c r="E32" s="753" t="s">
        <v>47</v>
      </c>
      <c r="F32" s="578"/>
      <c r="G32" s="1137"/>
    </row>
    <row customHeight="1" ht="19.5">
      <c r="C33" s="439"/>
      <c r="D33" s="440"/>
      <c r="E33" s="752" t="s">
        <v>48</v>
      </c>
      <c r="F33" s="578" t="s">
        <v>49</v>
      </c>
      <c r="G33" s="1137"/>
    </row>
    <row customHeight="1" ht="19.5">
      <c r="C34" s="439"/>
      <c r="D34" s="440"/>
      <c r="E34" s="752" t="s">
        <v>50</v>
      </c>
      <c r="F34" s="578" t="s">
        <v>51</v>
      </c>
      <c r="G34" s="1137"/>
      <c r="H34" s="441"/>
    </row>
    <row s="31350" customFormat="1" customHeight="1" ht="11.25">
      <c r="A35" s="1146"/>
      <c r="B35" s="593"/>
      <c r="C35" s="594"/>
      <c r="D35" s="600"/>
      <c r="E35" s="598"/>
      <c r="F35" s="601"/>
      <c r="G35" s="438"/>
      <c r="H35" s="770"/>
      <c r="I35" s="772"/>
      <c r="J35" s="1235"/>
    </row>
    <row customHeight="1" ht="19.5" hidden="1">
      <c r="A36" s="1240"/>
      <c r="D36" s="440"/>
      <c r="E36" s="752" t="s">
        <v>52</v>
      </c>
      <c r="F36" s="709"/>
      <c r="G36" s="438"/>
    </row>
    <row customHeight="1" ht="19.5">
      <c r="A37" s="1240"/>
      <c r="D37" s="440"/>
      <c r="E37" s="752" t="s">
        <v>53</v>
      </c>
      <c r="F37" s="5440" t="s">
        <v>54</v>
      </c>
      <c r="G37" s="438"/>
    </row>
    <row s="31350" customFormat="1" customHeight="1" ht="6">
      <c r="A38" s="1146"/>
      <c r="B38" s="593"/>
      <c r="C38" s="594"/>
      <c r="D38" s="595"/>
      <c r="E38" s="596"/>
      <c r="F38" s="1415"/>
      <c r="G38" s="434"/>
      <c r="H38" s="770"/>
      <c r="I38" s="772"/>
      <c r="J38" s="1237"/>
    </row>
    <row customHeight="1" ht="35.25">
      <c r="A39" s="1146"/>
      <c r="D39" s="436"/>
      <c r="E39" s="752" t="s">
        <v>55</v>
      </c>
      <c r="F39" s="1071" t="s">
        <v>56</v>
      </c>
      <c r="G39" s="434"/>
      <c r="H39" s="1134" t="s">
        <v>18</v>
      </c>
    </row>
    <row s="31381" customFormat="1" customHeight="1" ht="6" hidden="1">
      <c r="A40" s="1145"/>
      <c r="B40" s="787"/>
      <c r="C40" s="788"/>
      <c r="D40" s="789"/>
      <c r="E40" s="790"/>
      <c r="F40" s="1415"/>
      <c r="G40" s="434"/>
      <c r="H40" s="770"/>
      <c r="I40" s="772"/>
      <c r="J40" s="1237"/>
    </row>
    <row s="31374" customFormat="1" customHeight="1" ht="26.25" hidden="1">
      <c r="A41" s="1149" t="s">
        <v>22</v>
      </c>
      <c r="B41" s="774"/>
      <c r="C41" s="769"/>
      <c r="D41" s="771"/>
      <c r="E41" s="75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1071" t="s">
        <v>56</v>
      </c>
      <c r="G41" s="434"/>
      <c r="I41" s="772"/>
      <c r="J41" s="1237"/>
    </row>
    <row s="31381" customFormat="1" customHeight="1" ht="6" hidden="1">
      <c r="A42" s="1145"/>
      <c r="B42" s="787"/>
      <c r="C42" s="788"/>
      <c r="D42" s="789"/>
      <c r="E42" s="790"/>
      <c r="F42" s="1415"/>
      <c r="G42" s="434"/>
      <c r="H42" s="770"/>
      <c r="I42" s="772"/>
      <c r="J42" s="1235"/>
    </row>
    <row s="31374" customFormat="1" customHeight="1" ht="27" hidden="1">
      <c r="A43" s="1145"/>
      <c r="B43" s="774"/>
      <c r="C43" s="769"/>
      <c r="D43" s="771"/>
      <c r="E43" s="752" t="s">
        <v>57</v>
      </c>
      <c r="F43" s="1071" t="s">
        <v>56</v>
      </c>
      <c r="G43" s="434"/>
      <c r="I43" s="772"/>
      <c r="J43" s="1237"/>
    </row>
    <row s="31374" customFormat="1" customHeight="1" ht="27" hidden="1">
      <c r="A44" s="1145"/>
      <c r="B44" s="774"/>
      <c r="C44" s="769"/>
      <c r="D44" s="771"/>
      <c r="E44" s="1528" t="s">
        <v>58</v>
      </c>
      <c r="F44" s="2255"/>
      <c r="G44" s="434"/>
      <c r="I44" s="772"/>
      <c r="J44" s="1237"/>
    </row>
    <row s="31381" customFormat="1" customHeight="1" ht="6" hidden="1">
      <c r="A45" s="1145"/>
      <c r="B45" s="787"/>
      <c r="C45" s="788"/>
      <c r="D45" s="789"/>
      <c r="E45" s="790"/>
      <c r="F45" s="1415"/>
      <c r="G45" s="434"/>
      <c r="H45" s="770"/>
      <c r="I45" s="772"/>
      <c r="J45" s="1237"/>
    </row>
    <row s="31381" customFormat="1" customHeight="1" ht="24.75" hidden="1">
      <c r="A46" s="1145"/>
      <c r="B46" s="787"/>
      <c r="C46" s="788"/>
      <c r="D46" s="789"/>
      <c r="E46" s="1528" t="s">
        <v>59</v>
      </c>
      <c r="F46" s="1071" t="s">
        <v>56</v>
      </c>
      <c r="G46" s="434"/>
      <c r="H46" s="770"/>
      <c r="I46" s="772"/>
      <c r="J46" s="1237"/>
    </row>
    <row s="31374" customFormat="1" customHeight="1" ht="24.75" hidden="1">
      <c r="A47" s="1145"/>
      <c r="B47" s="774"/>
      <c r="C47" s="769"/>
      <c r="D47" s="771"/>
      <c r="E47" s="1528" t="s">
        <v>60</v>
      </c>
      <c r="F47" s="1071" t="s">
        <v>56</v>
      </c>
      <c r="G47" s="434"/>
      <c r="I47" s="772"/>
      <c r="J47" s="1237"/>
    </row>
    <row s="31350" customFormat="1" customHeight="1" ht="6">
      <c r="A48" s="1145"/>
      <c r="B48" s="593"/>
      <c r="C48" s="594"/>
      <c r="D48" s="595"/>
      <c r="E48" s="596"/>
      <c r="F48" s="1415"/>
      <c r="G48" s="434"/>
      <c r="H48" s="770"/>
      <c r="I48" s="772"/>
      <c r="J48" s="1237"/>
    </row>
    <row customHeight="1" ht="29.25">
      <c r="B49" s="510"/>
      <c r="D49" s="436"/>
      <c r="E49" s="75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1071" t="s">
        <v>56</v>
      </c>
      <c r="G49" s="434"/>
    </row>
    <row s="31381" customFormat="1" customHeight="1" ht="6" hidden="1">
      <c r="A50" s="1146"/>
      <c r="B50" s="787"/>
      <c r="C50" s="788"/>
      <c r="D50" s="600"/>
      <c r="E50" s="598"/>
      <c r="F50" s="601"/>
      <c r="G50" s="438"/>
      <c r="H50" s="770"/>
      <c r="I50" s="772"/>
      <c r="J50" s="1237"/>
    </row>
    <row s="31422" customFormat="1" customHeight="1" ht="28.5" hidden="1">
      <c r="A51" s="1147"/>
      <c r="B51" s="774"/>
      <c r="C51" s="891"/>
      <c r="D51" s="892"/>
      <c r="E51" s="752" t="s">
        <v>61</v>
      </c>
      <c r="F51" s="1071" t="s">
        <v>56</v>
      </c>
      <c r="G51" s="893"/>
      <c r="I51" s="895"/>
      <c r="J51" s="1239"/>
      <c r="P51" s="896"/>
    </row>
    <row s="31381" customFormat="1" customHeight="1" ht="6" hidden="1">
      <c r="A52" s="1146"/>
      <c r="B52" s="787"/>
      <c r="C52" s="788"/>
      <c r="D52" s="600"/>
      <c r="E52" s="598"/>
      <c r="F52" s="601"/>
      <c r="G52" s="438"/>
      <c r="H52" s="770"/>
      <c r="I52" s="772"/>
      <c r="J52" s="1235"/>
    </row>
    <row s="31422" customFormat="1" customHeight="1" ht="27" hidden="1">
      <c r="A53" s="1147"/>
      <c r="B53" s="774"/>
      <c r="C53" s="891"/>
      <c r="D53" s="892"/>
      <c r="E53" s="752" t="s">
        <v>62</v>
      </c>
      <c r="F53" s="1410" t="s">
        <v>56</v>
      </c>
      <c r="G53" s="893"/>
      <c r="I53" s="895"/>
      <c r="J53" s="1239"/>
      <c r="P53" s="896"/>
    </row>
    <row s="31422" customFormat="1" customHeight="1" ht="27" hidden="1">
      <c r="A54" s="1147"/>
      <c r="B54" s="774"/>
      <c r="C54" s="891"/>
      <c r="D54" s="892"/>
      <c r="E54" s="752" t="s">
        <v>63</v>
      </c>
      <c r="F54" s="2140"/>
      <c r="G54" s="893"/>
      <c r="I54" s="895"/>
      <c r="J54" s="1239"/>
      <c r="P54" s="896"/>
    </row>
    <row s="31381" customFormat="1" customHeight="1" ht="6" hidden="1">
      <c r="A55" s="1146"/>
      <c r="B55" s="787"/>
      <c r="C55" s="788"/>
      <c r="D55" s="600"/>
      <c r="E55" s="598"/>
      <c r="F55" s="601"/>
      <c r="G55" s="438"/>
      <c r="H55" s="770"/>
      <c r="I55" s="772"/>
      <c r="J55" s="1235"/>
    </row>
    <row s="31422" customFormat="1" customHeight="1" ht="25.5" hidden="1">
      <c r="A56" s="1147"/>
      <c r="B56" s="774"/>
      <c r="C56" s="891"/>
      <c r="D56" s="892"/>
      <c r="E56" s="752" t="s">
        <v>64</v>
      </c>
      <c r="F56" s="1410" t="s">
        <v>56</v>
      </c>
      <c r="G56" s="893"/>
      <c r="I56" s="895"/>
      <c r="J56" s="1239"/>
      <c r="P56" s="896"/>
    </row>
    <row s="31381" customFormat="1" customHeight="1" ht="6" hidden="1">
      <c r="A57" s="1146"/>
      <c r="B57" s="787"/>
      <c r="C57" s="788"/>
      <c r="D57" s="600"/>
      <c r="E57" s="598"/>
      <c r="F57" s="601"/>
      <c r="G57" s="438"/>
      <c r="H57" s="770"/>
      <c r="I57" s="772"/>
      <c r="J57" s="1235"/>
    </row>
    <row s="31422" customFormat="1" customHeight="1" ht="15" hidden="1">
      <c r="A58" s="1147"/>
      <c r="B58" s="774"/>
      <c r="C58" s="891"/>
      <c r="D58" s="892"/>
      <c r="E58" s="752" t="s">
        <v>65</v>
      </c>
      <c r="F58" s="1410" t="s">
        <v>66</v>
      </c>
      <c r="G58" s="893"/>
      <c r="I58" s="895"/>
      <c r="J58" s="1239"/>
      <c r="P58" s="896"/>
    </row>
    <row s="31422" customFormat="1" customHeight="1" ht="75" hidden="1">
      <c r="A59" s="1147"/>
      <c r="B59" s="774"/>
      <c r="C59" s="891"/>
      <c r="D59" s="892"/>
      <c r="E59" s="75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554"/>
      <c r="G59" s="893"/>
      <c r="I59" s="895"/>
      <c r="J59" s="1239"/>
      <c r="P59" s="896"/>
    </row>
    <row s="31422" customFormat="1" customHeight="1" ht="15" hidden="1">
      <c r="A60" s="1147"/>
      <c r="B60" s="774"/>
      <c r="C60" s="891"/>
      <c r="D60" s="892"/>
      <c r="E60" s="1528" t="s">
        <v>67</v>
      </c>
      <c r="F60" s="1514"/>
      <c r="G60" s="893"/>
      <c r="I60" s="895"/>
      <c r="J60" s="1239"/>
      <c r="P60" s="896"/>
    </row>
    <row s="31381" customFormat="1" customHeight="1" ht="6" hidden="1">
      <c r="A61" s="1146"/>
      <c r="B61" s="787"/>
      <c r="C61" s="788"/>
      <c r="D61" s="789"/>
      <c r="E61" s="790"/>
      <c r="F61" s="1415"/>
      <c r="G61" s="434"/>
      <c r="H61" s="770"/>
      <c r="I61" s="772"/>
      <c r="J61" s="1237"/>
    </row>
    <row s="31374" customFormat="1" customHeight="1" ht="33.75" hidden="1">
      <c r="A62" s="1146"/>
      <c r="B62" s="460"/>
      <c r="C62" s="769"/>
      <c r="D62" s="771"/>
      <c r="E62" s="1528" t="s">
        <v>68</v>
      </c>
      <c r="F62" s="2037" t="s">
        <v>66</v>
      </c>
      <c r="G62" s="434"/>
      <c r="H62" s="1134" t="s">
        <v>18</v>
      </c>
      <c r="I62" s="772"/>
      <c r="J62" s="1237"/>
    </row>
    <row s="31350" customFormat="1" customHeight="1" ht="6">
      <c r="A63" s="1146"/>
      <c r="B63" s="593"/>
      <c r="C63" s="594"/>
      <c r="D63" s="600"/>
      <c r="E63" s="598"/>
      <c r="F63" s="601"/>
      <c r="G63" s="438"/>
      <c r="H63" s="770"/>
      <c r="I63" s="772"/>
      <c r="J63" s="1235"/>
    </row>
    <row customHeight="1" ht="19.5">
      <c r="A64" s="1148"/>
      <c r="B64" s="461"/>
      <c r="D64" s="443"/>
      <c r="E64" s="752" t="s">
        <v>69</v>
      </c>
      <c r="F64" s="577" t="s">
        <v>70</v>
      </c>
      <c r="G64" s="438"/>
    </row>
    <row customHeight="1" ht="19.5">
      <c r="A65" s="1148"/>
      <c r="B65" s="461"/>
      <c r="D65" s="443"/>
      <c r="E65" s="752" t="s">
        <v>71</v>
      </c>
      <c r="F65" s="577" t="s">
        <v>72</v>
      </c>
      <c r="G65" s="438"/>
    </row>
    <row customHeight="1" ht="35.25">
      <c r="D66" s="436"/>
      <c r="E66" s="754" t="s">
        <v>73</v>
      </c>
      <c r="F66" s="1416"/>
      <c r="G66" s="434"/>
    </row>
    <row customHeight="1" ht="19.5">
      <c r="A67" s="1148"/>
      <c r="D67" s="771"/>
      <c r="E67" s="752" t="s">
        <v>74</v>
      </c>
      <c r="F67" s="632" t="s">
        <v>75</v>
      </c>
      <c r="G67" s="438"/>
    </row>
    <row customHeight="1" ht="19.5">
      <c r="A68" s="1148"/>
      <c r="B68" s="461"/>
      <c r="D68" s="443"/>
      <c r="E68" s="752" t="s">
        <v>76</v>
      </c>
      <c r="F68" s="632" t="s">
        <v>77</v>
      </c>
      <c r="G68" s="438"/>
    </row>
    <row customHeight="1" ht="19.5">
      <c r="A69" s="1148"/>
      <c r="B69" s="461"/>
      <c r="D69" s="443"/>
      <c r="E69" s="752" t="s">
        <v>78</v>
      </c>
      <c r="F69" s="632" t="s">
        <v>79</v>
      </c>
      <c r="G69" s="438"/>
    </row>
    <row customHeight="1" ht="19.5">
      <c r="D70" s="771"/>
      <c r="E70" s="752" t="s">
        <v>80</v>
      </c>
      <c r="F70" s="5468" t="s">
        <v>81</v>
      </c>
      <c r="G70" s="434"/>
    </row>
    <row customHeight="1" ht="20.25">
      <c r="A71" s="1148"/>
      <c r="D71" s="434"/>
      <c r="F71" s="495"/>
      <c r="G71" s="438"/>
    </row>
    <row customHeight="1" ht="19.5">
      <c r="A72" s="1148"/>
      <c r="B72" s="461"/>
      <c r="D72" s="443"/>
      <c r="E72" s="442"/>
      <c r="F72" s="496"/>
      <c r="G72" s="438"/>
    </row>
    <row customHeight="1" ht="19.5">
      <c r="A73" s="1148"/>
      <c r="B73" s="461"/>
      <c r="D73" s="443"/>
      <c r="E73" s="442"/>
      <c r="F73" s="496"/>
      <c r="G73" s="438"/>
    </row>
    <row customHeight="1" ht="19.5">
      <c r="A74" s="1148"/>
      <c r="B74" s="461"/>
      <c r="D74" s="443"/>
      <c r="E74" s="447"/>
      <c r="F74" s="496"/>
      <c r="G74" s="438"/>
    </row>
    <row customHeight="1" ht="19.5">
      <c r="A75" s="1148"/>
      <c r="B75" s="461"/>
      <c r="D75" s="443"/>
      <c r="E75" s="442"/>
      <c r="F75" s="496"/>
      <c r="G75" s="438"/>
    </row>
    <row r="78" customHeight="1" ht="11.25">
      <c r="E78" s="751"/>
      <c r="F78" s="751"/>
      <c r="G78" s="751"/>
      <c r="H78" s="751"/>
      <c r="I78" s="751"/>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4261A9D-FA24-E0FF-27BC-D84F4E8931EF}"/>
    <hyperlink ref="H17" location="Титульный!H9" display="Как заполнить?" tooltip="Помощь по работе с полями отчётной формы" xr:uid="{9568699A-9D47-3BC4-CB67-9B4E7B143882}"/>
    <hyperlink ref="F24" r:id="rId4" xr:uid="{8506FEB1-86C8-EAEF-16C5-65C777BFF215}"/>
    <hyperlink ref="F29" r:id="rId5" xr:uid="{C834DEFF-BB17-BA0A-D953-C34E05E4A469}"/>
    <hyperlink ref="H39" location="Титульный!H9" display="Как заполнить?" tooltip="Помощь по работе с полями отчётной формы" xr:uid="{745729D5-86F7-6DBE-0F57-D7F4759FF135}"/>
    <hyperlink ref="H62" location="Титульный!H9" display="Как заполнить?" tooltip="Помощь по работе с полями отчётной формы" xr:uid="{892E78DC-9FCC-76AE-A87A-AB1D7F0F1CA4}"/>
    <hyperlink ref="F70" r:id="rId6" xr:uid="{DF48CEEB-A6A9-E31F-C2AB-E9C0BD1E006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53908-CD1D-234A-4A23-AD7353AEB028}" mc:Ignorable="x14ac xr xr2 xr3">
  <sheetPr>
    <tabColor theme="6" tint="0.4"/>
  </sheetPr>
  <dimension ref="A1:AZ69"/>
  <sheetViews>
    <sheetView topLeftCell="A1" showGridLines="0" zoomScale="90" workbookViewId="0">
      <selection activeCell="T62" sqref="T62"/>
    </sheetView>
  </sheetViews>
  <sheetFormatPr defaultColWidth="10.57421875" customHeight="1" defaultRowHeight="14.25"/>
  <cols>
    <col min="1" max="1" style="32217" width="10.57421875"/>
    <col min="2" max="2" style="32217" width="11.00390625" customWidth="1"/>
    <col min="3" max="3" style="32217" width="10.57421875"/>
    <col min="4" max="4" style="32217" width="11.8515625" customWidth="1"/>
    <col min="5" max="5" style="32217" width="10.00390625" customWidth="1"/>
    <col min="6" max="6" style="32217" width="8.7109375" customWidth="1"/>
    <col min="7" max="7" style="32217" width="7.57421875" customWidth="1"/>
    <col min="8" max="8" style="32217" width="11.421875" customWidth="1"/>
    <col min="9" max="9" style="32217" width="12.00390625" customWidth="1"/>
    <col min="10" max="10" style="32217" width="9.8515625" customWidth="1"/>
    <col min="11" max="11" style="32217" width="11.421875" customWidth="1"/>
    <col min="12" max="12" style="32297" width="19.140625" customWidth="1"/>
    <col min="13" max="14" style="32298" width="12.28125" customWidth="1"/>
    <col min="15" max="15" style="32298" width="23.421875" customWidth="1"/>
    <col min="16" max="16" style="32298" width="3.7109375" customWidth="1"/>
    <col min="17" max="17" style="32470" width="3.7109375" customWidth="1"/>
    <col min="18" max="18" style="32300" width="3.7109375" customWidth="1"/>
    <col min="19" max="19" style="32301" width="12.7109375" customWidth="1"/>
    <col min="20" max="20" style="32302" width="32.00390625" customWidth="1"/>
    <col min="21" max="21" style="32302" width="0.140625" customWidth="1"/>
    <col min="22" max="23" style="32302" width="21.7109375" customWidth="1"/>
    <col min="24" max="24" style="32302" width="11.7109375" customWidth="1"/>
    <col min="25" max="25" style="32302" width="3.7109375" customWidth="1"/>
    <col min="26" max="26" style="32302" width="11.7109375" customWidth="1"/>
    <col min="27" max="27" style="32302" width="8.57421875" customWidth="1"/>
    <col min="28" max="28" style="32302" width="5.421875" customWidth="1"/>
    <col min="29" max="30" style="32302" width="3.7109375" customWidth="1"/>
    <col min="31" max="31" style="32302" width="24.7109375" customWidth="1"/>
    <col min="32" max="34" style="32302" width="3.7109375" customWidth="1"/>
    <col min="35" max="35" style="32302" width="24.7109375" customWidth="1"/>
    <col min="36" max="38" style="32302" width="3.7109375" customWidth="1"/>
    <col min="39" max="39" style="32302" width="18.8515625" customWidth="1"/>
    <col min="40" max="41" style="32302" width="21.7109375" customWidth="1"/>
    <col min="42" max="42" style="32302" width="11.7109375" customWidth="1"/>
    <col min="43" max="43" style="32302" width="3.7109375" customWidth="1"/>
    <col min="44" max="44" style="32302" width="11.7109375" customWidth="1"/>
    <col min="45" max="45" style="32302" width="8.57421875" customWidth="1"/>
    <col min="46" max="46" style="32302" width="4.7109375" customWidth="1"/>
    <col min="47" max="47" style="32302" width="115.7109375" customWidth="1"/>
    <col min="48" max="49" style="32289" width="10.57421875"/>
    <col min="50" max="50" style="32289" width="11.140625" customWidth="1"/>
    <col min="51" max="52" style="32289" width="10.57421875"/>
  </cols>
  <sheetData>
    <row customHeight="1" ht="14.25">
      <c r="W1" s="688"/>
      <c r="X1" s="688"/>
      <c r="AO1" s="688"/>
      <c r="AP1" s="688"/>
    </row>
    <row customHeight="1" ht="21">
      <c r="A2" s="1729"/>
      <c r="B2" s="1729"/>
      <c r="C2" s="1729"/>
      <c r="D2" s="1729"/>
      <c r="E2" s="2527">
        <v>1</v>
      </c>
      <c r="F2" s="1729"/>
      <c r="G2" s="1729"/>
      <c r="H2" s="1729"/>
      <c r="I2" s="1729"/>
      <c r="J2" s="1729"/>
      <c r="K2" s="1729"/>
      <c r="L2" s="1730"/>
      <c r="M2" s="1731"/>
      <c r="N2" s="1731"/>
      <c r="O2" s="1731"/>
      <c r="P2" s="1775"/>
      <c r="Q2" s="1234"/>
      <c r="R2" s="716"/>
      <c r="S2" s="1702">
        <f>INDEX(PT_DIFFERENTIATION_NUM_NTAR,MATCH(A2,PT_DIFFERENTIATION_NTAR_ID,0))</f>
      </c>
      <c r="T2" s="659" t="s">
        <v>131</v>
      </c>
      <c r="U2" s="661"/>
      <c r="V2" s="2522"/>
      <c r="W2" s="2522"/>
      <c r="X2" s="2522"/>
      <c r="Y2" s="2522"/>
      <c r="Z2" s="2522"/>
      <c r="AA2" s="2523"/>
      <c r="AB2" s="2521">
        <f>INDEX(PT_DIFFERENTIATION_NTAR,MATCH(A2,PT_DIFFERENTIATION_NTAR_ID,0))</f>
      </c>
      <c r="AC2" s="2522"/>
      <c r="AD2" s="2522"/>
      <c r="AE2" s="2522"/>
      <c r="AF2" s="2522"/>
      <c r="AG2" s="2522"/>
      <c r="AH2" s="2522"/>
      <c r="AI2" s="2522"/>
      <c r="AJ2" s="2522"/>
      <c r="AK2" s="2522"/>
      <c r="AL2" s="2522"/>
      <c r="AM2" s="2522"/>
      <c r="AN2" s="2522"/>
      <c r="AO2" s="2522"/>
      <c r="AP2" s="2522"/>
      <c r="AQ2" s="2522"/>
      <c r="AR2" s="2522"/>
      <c r="AS2" s="2522"/>
      <c r="AT2" s="2523"/>
      <c r="AU2" s="1623" t="s">
        <v>437</v>
      </c>
      <c r="AW2" s="861"/>
      <c r="AX2" s="861" t="str">
        <f>IF(T2="","",T2)</f>
        <v>Наименование тарифа</v>
      </c>
      <c r="AY2" s="861"/>
      <c r="AZ2" s="861"/>
    </row>
    <row customHeight="1" ht="21">
      <c r="A3" s="1729"/>
      <c r="B3" s="1729"/>
      <c r="C3" s="1729"/>
      <c r="D3" s="1729"/>
      <c r="E3" s="2528"/>
      <c r="F3" s="2527">
        <v>1</v>
      </c>
      <c r="G3" s="1729"/>
      <c r="H3" s="1729"/>
      <c r="I3" s="1729"/>
      <c r="J3" s="1729"/>
      <c r="K3" s="1729"/>
      <c r="L3" s="1730"/>
      <c r="M3" s="1731"/>
      <c r="N3" s="1731"/>
      <c r="O3" s="1731"/>
      <c r="P3" s="1776"/>
      <c r="Q3" s="1777"/>
      <c r="R3" s="714"/>
      <c r="S3" s="1702">
        <f>INDEX(PT_DIFFERENTIATION_NUM_TER,MATCH(B3,PT_DIFFERENTIATION_TER_ID,0))</f>
      </c>
      <c r="T3" s="669" t="s">
        <v>438</v>
      </c>
      <c r="U3" s="661"/>
      <c r="V3" s="2522"/>
      <c r="W3" s="2522"/>
      <c r="X3" s="2522"/>
      <c r="Y3" s="2522"/>
      <c r="Z3" s="2522"/>
      <c r="AA3" s="2523"/>
      <c r="AB3" s="2521">
        <f>INDEX(PT_DIFFERENTIATION_TER,MATCH(B3,PT_DIFFERENTIATION_TER_ID,0))</f>
      </c>
      <c r="AC3" s="2522"/>
      <c r="AD3" s="2522"/>
      <c r="AE3" s="2522"/>
      <c r="AF3" s="2522"/>
      <c r="AG3" s="2522"/>
      <c r="AH3" s="2522"/>
      <c r="AI3" s="2522"/>
      <c r="AJ3" s="2522"/>
      <c r="AK3" s="2522"/>
      <c r="AL3" s="2522"/>
      <c r="AM3" s="2522"/>
      <c r="AN3" s="2522"/>
      <c r="AO3" s="2522"/>
      <c r="AP3" s="2522"/>
      <c r="AQ3" s="2522"/>
      <c r="AR3" s="2522"/>
      <c r="AS3" s="2522"/>
      <c r="AT3" s="2523"/>
      <c r="AU3" s="1623" t="s">
        <v>439</v>
      </c>
      <c r="AW3" s="861"/>
      <c r="AX3" s="861" t="str">
        <f>IF(T3="","",T3)</f>
        <v>Территория действия тарифа</v>
      </c>
      <c r="AY3" s="861"/>
      <c r="AZ3" s="861"/>
    </row>
    <row customHeight="1" ht="22.5">
      <c r="A4" s="1729"/>
      <c r="B4" s="1729"/>
      <c r="C4" s="1729"/>
      <c r="D4" s="1729"/>
      <c r="E4" s="2528"/>
      <c r="F4" s="2528"/>
      <c r="G4" s="2527">
        <v>1</v>
      </c>
      <c r="H4" s="1729"/>
      <c r="I4" s="1729"/>
      <c r="J4" s="1729"/>
      <c r="K4" s="1729"/>
      <c r="L4" s="1730"/>
      <c r="M4" s="1731"/>
      <c r="N4" s="1731"/>
      <c r="O4" s="1731"/>
      <c r="P4" s="1778"/>
      <c r="Q4" s="1777"/>
      <c r="R4" s="714"/>
      <c r="S4" s="1702">
        <f>INDEX(PT_DIFFERENTIATION_NUM_CS,MATCH(C4,PT_DIFFERENTIATION_CS_ID,0))</f>
      </c>
      <c r="T4" s="670" t="s">
        <v>440</v>
      </c>
      <c r="U4" s="661"/>
      <c r="V4" s="2522"/>
      <c r="W4" s="2522"/>
      <c r="X4" s="2522"/>
      <c r="Y4" s="2522"/>
      <c r="Z4" s="2522"/>
      <c r="AA4" s="2523"/>
      <c r="AB4" s="2521">
        <f>INDEX(PT_DIFFERENTIATION_CS,MATCH(C4,PT_DIFFERENTIATION_CS_ID,0))</f>
      </c>
      <c r="AC4" s="2522"/>
      <c r="AD4" s="2522"/>
      <c r="AE4" s="2522"/>
      <c r="AF4" s="2522"/>
      <c r="AG4" s="2522"/>
      <c r="AH4" s="2522"/>
      <c r="AI4" s="2522"/>
      <c r="AJ4" s="2522"/>
      <c r="AK4" s="2522"/>
      <c r="AL4" s="2522"/>
      <c r="AM4" s="2522"/>
      <c r="AN4" s="2522"/>
      <c r="AO4" s="2522"/>
      <c r="AP4" s="2522"/>
      <c r="AQ4" s="2522"/>
      <c r="AR4" s="2522"/>
      <c r="AS4" s="2522"/>
      <c r="AT4" s="2523"/>
      <c r="AU4" s="1623" t="s">
        <v>441</v>
      </c>
      <c r="AW4" s="861"/>
      <c r="AX4" s="861" t="str">
        <f>IF(T4="","",T4)</f>
        <v>Наименование системы теплоснабжения </v>
      </c>
      <c r="AY4" s="861"/>
      <c r="AZ4" s="861"/>
    </row>
    <row customHeight="1" ht="21">
      <c r="A5" s="1729"/>
      <c r="B5" s="1729"/>
      <c r="C5" s="1729"/>
      <c r="D5" s="1729"/>
      <c r="E5" s="2528"/>
      <c r="F5" s="2528"/>
      <c r="G5" s="2528"/>
      <c r="H5" s="2527">
        <v>1</v>
      </c>
      <c r="I5" s="1729"/>
      <c r="J5" s="1729"/>
      <c r="K5" s="1729"/>
      <c r="L5" s="1730"/>
      <c r="M5" s="1731"/>
      <c r="N5" s="1731"/>
      <c r="O5" s="1731"/>
      <c r="P5" s="1778"/>
      <c r="Q5" s="1777"/>
      <c r="R5" s="714"/>
      <c r="S5" s="1702">
        <f>INDEX(PT_DIFFERENTIATION_NUM_IST_TE,MATCH(D5,PT_DIFFERENTIATION_IST_TE_ID,0))</f>
      </c>
      <c r="T5" s="671" t="s">
        <v>442</v>
      </c>
      <c r="U5" s="661"/>
      <c r="V5" s="2522"/>
      <c r="W5" s="2522"/>
      <c r="X5" s="2522"/>
      <c r="Y5" s="2522"/>
      <c r="Z5" s="2522"/>
      <c r="AA5" s="2523"/>
      <c r="AB5" s="2521">
        <f>INDEX(PT_DIFFERENTIATION_IST_TE,MATCH(D5,PT_DIFFERENTIATION_IST_TE_ID,0))</f>
      </c>
      <c r="AC5" s="2522"/>
      <c r="AD5" s="2522"/>
      <c r="AE5" s="2522"/>
      <c r="AF5" s="2522"/>
      <c r="AG5" s="2522"/>
      <c r="AH5" s="2522"/>
      <c r="AI5" s="2522"/>
      <c r="AJ5" s="2522"/>
      <c r="AK5" s="2522"/>
      <c r="AL5" s="2522"/>
      <c r="AM5" s="2522"/>
      <c r="AN5" s="2522"/>
      <c r="AO5" s="2522"/>
      <c r="AP5" s="2522"/>
      <c r="AQ5" s="2522"/>
      <c r="AR5" s="2522"/>
      <c r="AS5" s="2522"/>
      <c r="AT5" s="2523"/>
      <c r="AU5" s="1623" t="s">
        <v>443</v>
      </c>
      <c r="AW5" s="861"/>
      <c r="AX5" s="861" t="str">
        <f>IF(T5="","",T5)</f>
        <v>Источник тепловой энергии  </v>
      </c>
      <c r="AY5" s="861"/>
      <c r="AZ5" s="861"/>
    </row>
    <row s="32289" customFormat="1" customHeight="1" ht="0">
      <c r="A6" s="1709"/>
      <c r="B6" s="1709"/>
      <c r="C6" s="1709"/>
      <c r="D6" s="1709"/>
      <c r="E6" s="2528"/>
      <c r="F6" s="2528"/>
      <c r="G6" s="2528"/>
      <c r="H6" s="2528"/>
      <c r="I6" s="2529">
        <f>S5&amp;".1"</f>
      </c>
      <c r="J6" s="1709"/>
      <c r="K6" s="1709"/>
      <c r="L6" s="1712" t="s">
        <v>444</v>
      </c>
      <c r="M6" s="871"/>
      <c r="N6" s="871"/>
      <c r="O6" s="871"/>
      <c r="P6" s="2531">
        <v>1</v>
      </c>
      <c r="Q6" s="1697"/>
      <c r="R6" s="717"/>
      <c r="S6" s="1404"/>
      <c r="T6" s="1749"/>
      <c r="U6" s="1750"/>
      <c r="V6" s="2570"/>
      <c r="W6" s="2570"/>
      <c r="X6" s="2570"/>
      <c r="Y6" s="2570"/>
      <c r="Z6" s="2570"/>
      <c r="AA6" s="2571"/>
      <c r="AB6" s="2569"/>
      <c r="AC6" s="2570"/>
      <c r="AD6" s="2570"/>
      <c r="AE6" s="2570"/>
      <c r="AF6" s="2570"/>
      <c r="AG6" s="2570"/>
      <c r="AH6" s="2570"/>
      <c r="AI6" s="2570"/>
      <c r="AJ6" s="2570"/>
      <c r="AK6" s="2570"/>
      <c r="AL6" s="2570"/>
      <c r="AM6" s="2570"/>
      <c r="AN6" s="2570"/>
      <c r="AO6" s="2570"/>
      <c r="AP6" s="2570"/>
      <c r="AQ6" s="2570"/>
      <c r="AR6" s="2570"/>
      <c r="AS6" s="2570"/>
      <c r="AT6" s="2571"/>
      <c r="AU6" s="1751"/>
      <c r="AW6" s="861"/>
      <c r="AX6" s="861" t="str">
        <f>IF(T6="","",T6)</f>
        <v/>
      </c>
      <c r="AY6" s="861"/>
      <c r="AZ6" s="861"/>
    </row>
    <row s="32289" customFormat="1" customHeight="1" ht="0">
      <c r="A7" s="1709"/>
      <c r="B7" s="1709"/>
      <c r="C7" s="1709"/>
      <c r="D7" s="1709"/>
      <c r="E7" s="2528"/>
      <c r="F7" s="2528"/>
      <c r="G7" s="2528"/>
      <c r="H7" s="2528"/>
      <c r="I7" s="2530"/>
      <c r="J7" s="2529">
        <f>S5&amp;".1"</f>
      </c>
      <c r="K7" s="1709"/>
      <c r="L7" s="1712"/>
      <c r="M7" s="871"/>
      <c r="N7" s="871"/>
      <c r="O7" s="871"/>
      <c r="P7" s="2531"/>
      <c r="Q7" s="2531">
        <v>1</v>
      </c>
      <c r="R7" s="718"/>
      <c r="S7" s="1404"/>
      <c r="T7" s="1765"/>
      <c r="U7" s="1750"/>
      <c r="V7" s="2570"/>
      <c r="W7" s="2570"/>
      <c r="X7" s="2570"/>
      <c r="Y7" s="2570"/>
      <c r="Z7" s="2570"/>
      <c r="AA7" s="2571"/>
      <c r="AB7" s="2569"/>
      <c r="AC7" s="2570"/>
      <c r="AD7" s="2570"/>
      <c r="AE7" s="2570"/>
      <c r="AF7" s="2570"/>
      <c r="AG7" s="2570"/>
      <c r="AH7" s="2570"/>
      <c r="AI7" s="2570"/>
      <c r="AJ7" s="2570"/>
      <c r="AK7" s="2570"/>
      <c r="AL7" s="2570"/>
      <c r="AM7" s="2570"/>
      <c r="AN7" s="2570"/>
      <c r="AO7" s="2570"/>
      <c r="AP7" s="2570"/>
      <c r="AQ7" s="2570"/>
      <c r="AR7" s="2570"/>
      <c r="AS7" s="2570"/>
      <c r="AT7" s="2571"/>
      <c r="AU7" s="1751"/>
      <c r="AW7" s="861"/>
      <c r="AX7" s="861" t="str">
        <f>IF(T7="","",T7)</f>
        <v/>
      </c>
      <c r="AY7" s="861"/>
      <c r="AZ7" s="861"/>
    </row>
    <row customHeight="1" ht="21">
      <c r="A8" s="1729"/>
      <c r="B8" s="1729"/>
      <c r="C8" s="1729"/>
      <c r="D8" s="1729"/>
      <c r="E8" s="2528"/>
      <c r="F8" s="2528"/>
      <c r="G8" s="2528"/>
      <c r="H8" s="2528"/>
      <c r="I8" s="2530"/>
      <c r="J8" s="2530"/>
      <c r="K8" s="2529">
        <f>S5&amp;".1"</f>
      </c>
      <c r="L8" s="1730"/>
      <c r="P8" s="2531"/>
      <c r="Q8" s="2531"/>
      <c r="R8" s="2607">
        <v>1</v>
      </c>
      <c r="S8" s="2604">
        <f>$K8</f>
      </c>
      <c r="T8" s="2601"/>
      <c r="U8" s="661"/>
      <c r="V8" s="1112"/>
      <c r="W8" s="1622"/>
      <c r="X8" s="2532"/>
      <c r="Y8" s="2402" t="s">
        <v>66</v>
      </c>
      <c r="Z8" s="2532"/>
      <c r="AA8" s="2402" t="s">
        <v>66</v>
      </c>
      <c r="AB8" s="2402" t="s">
        <v>56</v>
      </c>
      <c r="AC8" s="2600"/>
      <c r="AD8" s="2478">
        <v>1</v>
      </c>
      <c r="AE8" s="2613"/>
      <c r="AF8" s="2402" t="s">
        <v>56</v>
      </c>
      <c r="AG8" s="2600"/>
      <c r="AH8" s="2478">
        <v>1</v>
      </c>
      <c r="AI8" s="2613"/>
      <c r="AJ8" s="2402" t="s">
        <v>56</v>
      </c>
      <c r="AK8" s="672"/>
      <c r="AL8" s="1703">
        <v>1</v>
      </c>
      <c r="AM8" s="1764"/>
      <c r="AN8" s="1112"/>
      <c r="AO8" s="1622"/>
      <c r="AP8" s="2100"/>
      <c r="AQ8" s="1825" t="s">
        <v>66</v>
      </c>
      <c r="AR8" s="2100"/>
      <c r="AS8" s="1825" t="s">
        <v>66</v>
      </c>
      <c r="AT8" s="1714"/>
      <c r="AU8" s="2557" t="s">
        <v>502</v>
      </c>
      <c r="AV8" s="872">
        <f>STRCHECKDATE(V11:AT11)</f>
      </c>
      <c r="AW8" s="861"/>
      <c r="AX8" s="861" t="str">
        <f>IF(T8="","",T8)</f>
        <v/>
      </c>
      <c r="AY8" s="861"/>
      <c r="AZ8" s="861"/>
    </row>
    <row customHeight="1" ht="11.25">
      <c r="A9" s="1729"/>
      <c r="B9" s="1729"/>
      <c r="C9" s="1729"/>
      <c r="D9" s="1729"/>
      <c r="E9" s="2528"/>
      <c r="F9" s="2528"/>
      <c r="G9" s="2528"/>
      <c r="H9" s="2528"/>
      <c r="I9" s="2530"/>
      <c r="J9" s="2530"/>
      <c r="K9" s="2529"/>
      <c r="L9" s="1730"/>
      <c r="P9" s="2531"/>
      <c r="Q9" s="2531"/>
      <c r="R9" s="2607"/>
      <c r="S9" s="2605"/>
      <c r="T9" s="2602"/>
      <c r="U9" s="661"/>
      <c r="V9" s="1759"/>
      <c r="W9" s="1763"/>
      <c r="X9" s="2532"/>
      <c r="Y9" s="2402"/>
      <c r="Z9" s="2532"/>
      <c r="AA9" s="2402"/>
      <c r="AB9" s="2402"/>
      <c r="AC9" s="2600"/>
      <c r="AD9" s="2478"/>
      <c r="AE9" s="2613"/>
      <c r="AF9" s="2402"/>
      <c r="AG9" s="2600"/>
      <c r="AH9" s="2478"/>
      <c r="AI9" s="2613"/>
      <c r="AJ9" s="2402"/>
      <c r="AK9" s="677"/>
      <c r="AL9" s="777"/>
      <c r="AM9" s="776" t="s">
        <v>503</v>
      </c>
      <c r="AN9" s="1759"/>
      <c r="AO9" s="1862"/>
      <c r="AP9" s="1759"/>
      <c r="AQ9" s="1759"/>
      <c r="AR9" s="1759"/>
      <c r="AS9" s="1759"/>
      <c r="AT9" s="1756"/>
      <c r="AU9" s="2558"/>
      <c r="AW9" s="861"/>
      <c r="AX9" s="861"/>
      <c r="AY9" s="861"/>
      <c r="AZ9" s="861"/>
    </row>
    <row customHeight="1" ht="11.25">
      <c r="A10" s="1729"/>
      <c r="B10" s="1729"/>
      <c r="C10" s="1729"/>
      <c r="D10" s="1729"/>
      <c r="E10" s="2528"/>
      <c r="F10" s="2528"/>
      <c r="G10" s="2528"/>
      <c r="H10" s="2528"/>
      <c r="I10" s="2530"/>
      <c r="J10" s="2530"/>
      <c r="K10" s="2529"/>
      <c r="L10" s="1730"/>
      <c r="P10" s="2531"/>
      <c r="Q10" s="2531"/>
      <c r="R10" s="2607"/>
      <c r="S10" s="2605"/>
      <c r="T10" s="2602"/>
      <c r="U10" s="661"/>
      <c r="V10" s="1759"/>
      <c r="W10" s="1763"/>
      <c r="X10" s="2532"/>
      <c r="Y10" s="2402"/>
      <c r="Z10" s="2532"/>
      <c r="AA10" s="2402"/>
      <c r="AB10" s="2402"/>
      <c r="AC10" s="2600"/>
      <c r="AD10" s="2478"/>
      <c r="AE10" s="2613"/>
      <c r="AF10" s="2402"/>
      <c r="AG10" s="655"/>
      <c r="AH10" s="776"/>
      <c r="AI10" s="776" t="s">
        <v>504</v>
      </c>
      <c r="AJ10" s="1759"/>
      <c r="AK10" s="1759"/>
      <c r="AL10" s="1759"/>
      <c r="AM10" s="1759"/>
      <c r="AN10" s="1759"/>
      <c r="AO10" s="1862"/>
      <c r="AP10" s="1759"/>
      <c r="AQ10" s="1759"/>
      <c r="AR10" s="1759"/>
      <c r="AS10" s="1759"/>
      <c r="AT10" s="1756"/>
      <c r="AU10" s="2558"/>
      <c r="AW10" s="861"/>
      <c r="AX10" s="861"/>
      <c r="AY10" s="861"/>
      <c r="AZ10" s="861"/>
    </row>
    <row customHeight="1" ht="11.25">
      <c r="A11" s="1729"/>
      <c r="B11" s="1729"/>
      <c r="C11" s="1729"/>
      <c r="D11" s="1729"/>
      <c r="E11" s="2528"/>
      <c r="F11" s="2528"/>
      <c r="G11" s="2528"/>
      <c r="H11" s="2528"/>
      <c r="I11" s="2530"/>
      <c r="J11" s="2530"/>
      <c r="K11" s="2529"/>
      <c r="L11" s="1730"/>
      <c r="P11" s="2531"/>
      <c r="Q11" s="2531"/>
      <c r="R11" s="2607"/>
      <c r="S11" s="2606"/>
      <c r="T11" s="2603"/>
      <c r="U11" s="661"/>
      <c r="V11" s="1759"/>
      <c r="W11" s="1762" t="str">
        <f>X8&amp;"-"&amp;Z8</f>
        <v>-</v>
      </c>
      <c r="X11" s="2533"/>
      <c r="Y11" s="2402"/>
      <c r="Z11" s="2533"/>
      <c r="AA11" s="2402"/>
      <c r="AB11" s="2402"/>
      <c r="AC11" s="673"/>
      <c r="AD11" s="675"/>
      <c r="AE11" s="776" t="s">
        <v>505</v>
      </c>
      <c r="AF11" s="1759"/>
      <c r="AG11" s="1759"/>
      <c r="AH11" s="1759"/>
      <c r="AI11" s="1759"/>
      <c r="AJ11" s="1759"/>
      <c r="AK11" s="1759"/>
      <c r="AL11" s="1759"/>
      <c r="AM11" s="1759"/>
      <c r="AN11" s="1759"/>
      <c r="AO11" s="1760" t="str">
        <f>AP8&amp;"-"&amp;AR8</f>
        <v>-</v>
      </c>
      <c r="AP11" s="1759"/>
      <c r="AQ11" s="1759"/>
      <c r="AR11" s="1759"/>
      <c r="AS11" s="1759"/>
      <c r="AT11" s="1715"/>
      <c r="AU11" s="2558"/>
      <c r="AW11" s="861"/>
      <c r="AX11" s="861" t="str">
        <f>IF(T11="","",T11)</f>
        <v/>
      </c>
      <c r="AY11" s="861"/>
      <c r="AZ11" s="861"/>
    </row>
    <row customHeight="1" ht="11.25">
      <c r="A12" s="1729"/>
      <c r="B12" s="1729"/>
      <c r="C12" s="1729"/>
      <c r="D12" s="1729"/>
      <c r="E12" s="2528"/>
      <c r="F12" s="2528"/>
      <c r="G12" s="2528"/>
      <c r="H12" s="2528"/>
      <c r="I12" s="2530"/>
      <c r="J12" s="2529"/>
      <c r="K12" s="1729"/>
      <c r="L12" s="1730"/>
      <c r="P12" s="2531"/>
      <c r="Q12" s="2531"/>
      <c r="R12" s="717"/>
      <c r="S12" s="1644"/>
      <c r="T12" s="648" t="s">
        <v>506</v>
      </c>
      <c r="U12" s="728"/>
      <c r="V12" s="728"/>
      <c r="W12" s="728"/>
      <c r="X12" s="728"/>
      <c r="Y12" s="728"/>
      <c r="Z12" s="728"/>
      <c r="AA12" s="728"/>
      <c r="AB12" s="728"/>
      <c r="AC12" s="728"/>
      <c r="AD12" s="728"/>
      <c r="AE12" s="728"/>
      <c r="AF12" s="728"/>
      <c r="AG12" s="728"/>
      <c r="AH12" s="728"/>
      <c r="AI12" s="728"/>
      <c r="AJ12" s="728"/>
      <c r="AK12" s="728"/>
      <c r="AL12" s="728"/>
      <c r="AM12" s="728"/>
      <c r="AN12" s="728"/>
      <c r="AO12" s="728"/>
      <c r="AP12" s="728"/>
      <c r="AQ12" s="728"/>
      <c r="AR12" s="728"/>
      <c r="AS12" s="728"/>
      <c r="AT12" s="685"/>
      <c r="AU12" s="2559"/>
      <c r="AW12" s="861"/>
      <c r="AX12" s="861" t="str">
        <f>IF(T12="","",T12)</f>
        <v>Добавить строку</v>
      </c>
      <c r="AY12" s="861"/>
      <c r="AZ12" s="861"/>
    </row>
    <row s="32289" customFormat="1" customHeight="1" ht="0">
      <c r="A13" s="1709"/>
      <c r="B13" s="1709"/>
      <c r="C13" s="1709"/>
      <c r="D13" s="1709"/>
      <c r="E13" s="2528"/>
      <c r="F13" s="2528"/>
      <c r="G13" s="2528"/>
      <c r="H13" s="2528"/>
      <c r="I13" s="2529"/>
      <c r="J13" s="1709"/>
      <c r="K13" s="1709"/>
      <c r="L13" s="1712"/>
      <c r="M13" s="871"/>
      <c r="N13" s="871"/>
      <c r="O13" s="871"/>
      <c r="P13" s="2531"/>
      <c r="Q13" s="1697"/>
      <c r="R13" s="717"/>
      <c r="S13" s="1752"/>
      <c r="T13" s="1753"/>
      <c r="U13" s="1754"/>
      <c r="V13" s="1754"/>
      <c r="W13" s="1754"/>
      <c r="X13" s="1754"/>
      <c r="Y13" s="1754"/>
      <c r="Z13" s="1754"/>
      <c r="AA13" s="1754"/>
      <c r="AB13" s="1754"/>
      <c r="AC13" s="1754"/>
      <c r="AD13" s="1754"/>
      <c r="AE13" s="1754"/>
      <c r="AF13" s="1754"/>
      <c r="AG13" s="1754"/>
      <c r="AH13" s="1754"/>
      <c r="AI13" s="1754"/>
      <c r="AJ13" s="1754"/>
      <c r="AK13" s="1754"/>
      <c r="AL13" s="1754"/>
      <c r="AM13" s="1754"/>
      <c r="AN13" s="1754"/>
      <c r="AO13" s="1754"/>
      <c r="AP13" s="1754"/>
      <c r="AQ13" s="1754"/>
      <c r="AR13" s="1754"/>
      <c r="AS13" s="1754"/>
      <c r="AT13" s="1754"/>
      <c r="AU13" s="1755"/>
      <c r="AW13" s="861"/>
      <c r="AX13" s="861" t="str">
        <f>IF(T13="","",T13)</f>
        <v/>
      </c>
      <c r="AY13" s="861"/>
      <c r="AZ13" s="861"/>
    </row>
    <row s="32289" customFormat="1" customHeight="1" ht="0">
      <c r="A14" s="1709"/>
      <c r="B14" s="1709"/>
      <c r="C14" s="1709"/>
      <c r="D14" s="1709"/>
      <c r="E14" s="2528"/>
      <c r="F14" s="2528"/>
      <c r="G14" s="2528"/>
      <c r="H14" s="2527"/>
      <c r="I14" s="1709"/>
      <c r="J14" s="1709"/>
      <c r="K14" s="1709"/>
      <c r="L14" s="1712"/>
      <c r="M14" s="1681"/>
      <c r="N14" s="1681"/>
      <c r="O14" s="879"/>
      <c r="P14" s="741"/>
      <c r="Q14" s="1710"/>
      <c r="R14" s="1767"/>
      <c r="S14" s="1752"/>
      <c r="T14" s="1753"/>
      <c r="U14" s="1754"/>
      <c r="V14" s="1754"/>
      <c r="W14" s="1754"/>
      <c r="X14" s="1754"/>
      <c r="Y14" s="1754"/>
      <c r="Z14" s="1754"/>
      <c r="AA14" s="1754"/>
      <c r="AB14" s="1754"/>
      <c r="AC14" s="1754"/>
      <c r="AD14" s="1754"/>
      <c r="AE14" s="1754"/>
      <c r="AF14" s="1754"/>
      <c r="AG14" s="1754"/>
      <c r="AH14" s="1754"/>
      <c r="AI14" s="1754"/>
      <c r="AJ14" s="1754"/>
      <c r="AK14" s="1754"/>
      <c r="AL14" s="1754"/>
      <c r="AM14" s="1754"/>
      <c r="AN14" s="1754"/>
      <c r="AO14" s="1754"/>
      <c r="AP14" s="1754"/>
      <c r="AQ14" s="1754"/>
      <c r="AR14" s="1754"/>
      <c r="AS14" s="1754"/>
      <c r="AT14" s="1754"/>
      <c r="AU14" s="1755"/>
      <c r="AW14" s="861"/>
      <c r="AX14" s="861" t="str">
        <f>IF(T14="","",T14)</f>
        <v/>
      </c>
      <c r="AY14" s="861"/>
      <c r="AZ14" s="861"/>
    </row>
    <row s="32198" customFormat="1" customHeight="1" ht="0">
      <c r="A15" s="1709"/>
      <c r="B15" s="1709"/>
      <c r="C15" s="1709"/>
      <c r="D15" s="1680"/>
      <c r="E15" s="2528"/>
      <c r="F15" s="2528"/>
      <c r="G15" s="2527"/>
      <c r="H15" s="1680"/>
      <c r="I15" s="1680"/>
      <c r="J15" s="1680"/>
      <c r="K15" s="1680"/>
      <c r="L15" s="1705"/>
      <c r="M15" s="1681"/>
      <c r="N15" s="1681"/>
      <c r="P15" s="1682"/>
      <c r="Q15" s="1683"/>
      <c r="R15" s="1682"/>
      <c r="S15" s="1688"/>
      <c r="T15" s="1691" t="s">
        <v>455</v>
      </c>
      <c r="U15" s="1690"/>
      <c r="V15" s="1690"/>
      <c r="W15" s="1690"/>
      <c r="X15" s="1690"/>
      <c r="Y15" s="1690"/>
      <c r="Z15" s="1690"/>
      <c r="AA15" s="1690"/>
      <c r="AB15" s="1690"/>
      <c r="AC15" s="1690"/>
      <c r="AD15" s="1690"/>
      <c r="AE15" s="1690"/>
      <c r="AF15" s="1690"/>
      <c r="AG15" s="1690"/>
      <c r="AH15" s="1690"/>
      <c r="AI15" s="1690"/>
      <c r="AJ15" s="1690"/>
      <c r="AK15" s="1690"/>
      <c r="AL15" s="1690"/>
      <c r="AM15" s="1690"/>
      <c r="AN15" s="1690"/>
      <c r="AO15" s="1690"/>
      <c r="AP15" s="1690"/>
      <c r="AQ15" s="1690"/>
      <c r="AR15" s="1690"/>
      <c r="AS15" s="1690"/>
      <c r="AT15" s="1690"/>
      <c r="AU15" s="1690"/>
      <c r="AW15" s="1150"/>
      <c r="AX15" s="1150" t="str">
        <f>IF(T15="","",T15)</f>
        <v>Добавить источник для дифференциации</v>
      </c>
      <c r="AY15" s="1150"/>
      <c r="AZ15" s="1150"/>
    </row>
    <row s="32198" customFormat="1" customHeight="1" ht="0">
      <c r="A16" s="1709"/>
      <c r="B16" s="1709"/>
      <c r="C16" s="1680"/>
      <c r="D16" s="1680"/>
      <c r="E16" s="2528"/>
      <c r="F16" s="2527"/>
      <c r="G16" s="1680"/>
      <c r="H16" s="1680"/>
      <c r="I16" s="1680"/>
      <c r="J16" s="1680"/>
      <c r="K16" s="1680"/>
      <c r="L16" s="1705"/>
      <c r="M16" s="1687"/>
      <c r="N16" s="1687"/>
      <c r="P16" s="1682"/>
      <c r="Q16" s="1683"/>
      <c r="R16" s="1682"/>
      <c r="S16" s="1688"/>
      <c r="T16" s="1691" t="s">
        <v>262</v>
      </c>
      <c r="U16" s="1690"/>
      <c r="V16" s="1690"/>
      <c r="W16" s="1690"/>
      <c r="X16" s="1690"/>
      <c r="Y16" s="1690"/>
      <c r="Z16" s="1690"/>
      <c r="AA16" s="1690"/>
      <c r="AB16" s="1690"/>
      <c r="AC16" s="1690"/>
      <c r="AD16" s="1690"/>
      <c r="AE16" s="1690"/>
      <c r="AF16" s="1690"/>
      <c r="AG16" s="1690"/>
      <c r="AH16" s="1690"/>
      <c r="AI16" s="1690"/>
      <c r="AJ16" s="1690"/>
      <c r="AK16" s="1690"/>
      <c r="AL16" s="1690"/>
      <c r="AM16" s="1690"/>
      <c r="AN16" s="1690"/>
      <c r="AO16" s="1690"/>
      <c r="AP16" s="1690"/>
      <c r="AQ16" s="1690"/>
      <c r="AR16" s="1690"/>
      <c r="AS16" s="1690"/>
      <c r="AT16" s="1690"/>
      <c r="AU16" s="1690"/>
      <c r="AW16" s="1150"/>
      <c r="AX16" s="1150" t="str">
        <f>IF(T16="","",T16)</f>
        <v>Добавить централизованную систему для дифференциации</v>
      </c>
      <c r="AY16" s="1150"/>
      <c r="AZ16" s="1150"/>
    </row>
    <row s="32289" customFormat="1" customHeight="1" ht="0">
      <c r="A17" s="1709"/>
      <c r="B17" s="1709"/>
      <c r="C17" s="1709"/>
      <c r="D17" s="1709"/>
      <c r="E17" s="2527"/>
      <c r="F17" s="1709"/>
      <c r="G17" s="1709"/>
      <c r="H17" s="1709"/>
      <c r="I17" s="1709"/>
      <c r="J17" s="1709"/>
      <c r="K17" s="1709"/>
      <c r="L17" s="1712"/>
      <c r="M17" s="1687"/>
      <c r="N17" s="1687"/>
      <c r="O17" s="879"/>
      <c r="P17" s="741"/>
      <c r="Q17" s="1710"/>
      <c r="R17" s="741"/>
      <c r="S17" s="1688"/>
      <c r="T17" s="1691" t="s">
        <v>270</v>
      </c>
      <c r="U17" s="1690"/>
      <c r="V17" s="1690"/>
      <c r="W17" s="1690"/>
      <c r="X17" s="1690"/>
      <c r="Y17" s="1690"/>
      <c r="Z17" s="1690"/>
      <c r="AA17" s="1690"/>
      <c r="AB17" s="1690"/>
      <c r="AC17" s="1690"/>
      <c r="AD17" s="1690"/>
      <c r="AE17" s="1690"/>
      <c r="AF17" s="1690"/>
      <c r="AG17" s="1690"/>
      <c r="AH17" s="1690"/>
      <c r="AI17" s="1690"/>
      <c r="AJ17" s="1690"/>
      <c r="AK17" s="1690"/>
      <c r="AL17" s="1690"/>
      <c r="AM17" s="1690"/>
      <c r="AN17" s="1690"/>
      <c r="AO17" s="1690"/>
      <c r="AP17" s="1690"/>
      <c r="AQ17" s="1690"/>
      <c r="AR17" s="1690"/>
      <c r="AS17" s="1690"/>
      <c r="AT17" s="1690"/>
      <c r="AU17" s="1690"/>
      <c r="AW17" s="861"/>
      <c r="AX17" s="861" t="str">
        <f>IF(T17="","",T17)</f>
        <v>Добавить территорию для дифференциации</v>
      </c>
      <c r="AY17" s="861"/>
      <c r="AZ17" s="861"/>
    </row>
    <row customHeight="1" ht="14.25">
      <c r="AA18" s="688"/>
      <c r="AS18" s="688"/>
    </row>
    <row customHeight="1" ht="14.25">
      <c r="AB19" s="1690" t="s">
        <v>56</v>
      </c>
      <c r="AC19" s="1867"/>
      <c r="AD19" s="909">
        <v>1</v>
      </c>
      <c r="AE19" s="1868"/>
      <c r="AF19" s="1690" t="s">
        <v>56</v>
      </c>
      <c r="AG19" s="1867"/>
      <c r="AH19" s="909">
        <v>1</v>
      </c>
      <c r="AI19" s="1868"/>
      <c r="AJ19" s="1690" t="s">
        <v>56</v>
      </c>
      <c r="AK19" s="1869"/>
      <c r="AL19" s="909">
        <v>1</v>
      </c>
      <c r="AM19" s="1872"/>
      <c r="AN19" s="1769"/>
      <c r="AO19" s="1770"/>
      <c r="AP19" s="2102"/>
      <c r="AQ19" s="1826" t="s">
        <v>66</v>
      </c>
      <c r="AR19" s="2102"/>
      <c r="AS19" s="1826" t="s">
        <v>66</v>
      </c>
    </row>
    <row customHeight="1" ht="14.25">
      <c r="AV20" s="857"/>
      <c r="AW20" s="857"/>
      <c r="AX20" s="857"/>
      <c r="AY20" s="857"/>
      <c r="AZ20" s="857"/>
    </row>
    <row customHeight="1" ht="14.25">
      <c r="O21" s="1733" t="s">
        <v>456</v>
      </c>
      <c r="X21" s="1711"/>
      <c r="Z21" s="1711"/>
      <c r="AA21" s="688"/>
      <c r="AP21" s="1711"/>
      <c r="AR21" s="1711"/>
      <c r="AS21" s="688"/>
      <c r="AV21" s="857"/>
      <c r="AW21" s="857"/>
      <c r="AX21" s="857"/>
      <c r="AY21" s="857"/>
      <c r="AZ21" s="857"/>
    </row>
    <row customHeight="1" ht="14.25">
      <c r="AA22" s="688"/>
      <c r="AS22" s="688"/>
      <c r="AV22" s="857"/>
      <c r="AW22" s="857"/>
      <c r="AX22" s="857"/>
      <c r="AY22" s="857"/>
      <c r="AZ22" s="857"/>
    </row>
    <row s="32444" customFormat="1" customHeight="1" ht="14.25">
      <c r="M23" s="1874"/>
      <c r="N23" s="1874"/>
      <c r="O23" s="1875" t="s">
        <v>457</v>
      </c>
      <c r="P23" s="1874"/>
      <c r="Q23" s="1876"/>
      <c r="R23" s="1876"/>
      <c r="Y23" s="1873" t="s">
        <v>459</v>
      </c>
      <c r="AA23" s="1873" t="s">
        <v>460</v>
      </c>
      <c r="AB23" s="1873" t="s">
        <v>507</v>
      </c>
      <c r="AE23" s="1873" t="s">
        <v>508</v>
      </c>
      <c r="AF23" s="1873" t="s">
        <v>507</v>
      </c>
      <c r="AI23" s="1873" t="s">
        <v>509</v>
      </c>
      <c r="AJ23" s="1873" t="s">
        <v>507</v>
      </c>
      <c r="AM23" s="1873" t="s">
        <v>510</v>
      </c>
      <c r="AQ23" s="1873" t="s">
        <v>459</v>
      </c>
      <c r="AS23" s="1873" t="s">
        <v>460</v>
      </c>
      <c r="AV23" s="1877"/>
      <c r="AW23" s="1877"/>
      <c r="AX23" s="1877"/>
      <c r="AY23" s="1877"/>
      <c r="AZ23" s="1877"/>
    </row>
    <row customHeight="1" ht="14.25">
      <c r="O24" s="1730"/>
      <c r="AV24" s="857"/>
      <c r="AW24" s="857"/>
      <c r="AX24" s="857"/>
      <c r="AY24" s="857"/>
      <c r="AZ24" s="857"/>
    </row>
    <row customHeight="1" ht="14.25">
      <c r="O25" s="1730"/>
      <c r="AV25" s="857"/>
      <c r="AW25" s="857"/>
      <c r="AX25" s="857"/>
      <c r="AY25" s="857"/>
      <c r="AZ25" s="857"/>
    </row>
    <row customHeight="1" ht="14.25">
      <c r="Q26" s="652"/>
      <c r="R26" s="737"/>
      <c r="S26" s="1641"/>
      <c r="T26" s="724"/>
      <c r="U26" s="724"/>
      <c r="V26" s="870"/>
      <c r="W26" s="870"/>
      <c r="X26" s="870"/>
      <c r="Y26" s="870"/>
      <c r="Z26" s="870"/>
      <c r="AA26" s="870"/>
      <c r="AB26" s="870"/>
      <c r="AC26" s="870"/>
      <c r="AD26" s="870"/>
      <c r="AE26" s="870"/>
      <c r="AF26" s="870"/>
      <c r="AG26" s="870"/>
      <c r="AH26" s="870"/>
      <c r="AI26" s="870"/>
      <c r="AJ26" s="870"/>
      <c r="AK26" s="870"/>
      <c r="AL26" s="870"/>
      <c r="AM26" s="870"/>
      <c r="AN26" s="870"/>
      <c r="AO26" s="870"/>
      <c r="AP26" s="870"/>
      <c r="AQ26" s="870"/>
      <c r="AR26" s="870"/>
      <c r="AS26" s="870"/>
    </row>
    <row customHeight="1" ht="26.25">
      <c r="Q27" s="652"/>
      <c r="R27" s="737"/>
      <c r="S27" s="256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560"/>
      <c r="U27" s="2560"/>
      <c r="V27" s="2560"/>
      <c r="W27" s="2560"/>
      <c r="X27" s="2560"/>
      <c r="Y27" s="2560"/>
      <c r="Z27" s="2560"/>
      <c r="AA27" s="2560"/>
      <c r="AB27" s="2560"/>
      <c r="AC27" s="2560"/>
      <c r="AD27" s="2560"/>
      <c r="AE27" s="2560"/>
      <c r="AF27" s="2560"/>
      <c r="AG27" s="2560"/>
      <c r="AH27" s="2560"/>
      <c r="AI27" s="2560"/>
      <c r="AJ27" s="2560"/>
      <c r="AK27" s="2560"/>
      <c r="AL27" s="2560"/>
      <c r="AM27" s="2560"/>
      <c r="AN27" s="2560"/>
      <c r="AO27" s="2560"/>
      <c r="AP27" s="2560"/>
      <c r="AQ27" s="2560"/>
      <c r="AR27" s="2560"/>
      <c r="AS27" s="1608"/>
    </row>
    <row customHeight="1" ht="14.25">
      <c r="Q28" s="652"/>
      <c r="R28" s="737"/>
      <c r="S28" s="2561" t="str">
        <f>IF(org=0,"Не определено",org)</f>
        <v>АО "Мурманэнергосбыт"</v>
      </c>
      <c r="T28" s="2561"/>
      <c r="U28" s="2561"/>
      <c r="V28" s="2561"/>
      <c r="W28" s="2561"/>
      <c r="X28" s="2561"/>
      <c r="Y28" s="2561"/>
      <c r="Z28" s="2561"/>
      <c r="AA28" s="2561"/>
      <c r="AB28" s="2561"/>
      <c r="AC28" s="2561"/>
      <c r="AD28" s="2561"/>
      <c r="AE28" s="2561"/>
      <c r="AF28" s="2561"/>
      <c r="AG28" s="2561"/>
      <c r="AH28" s="2561"/>
      <c r="AI28" s="2561"/>
      <c r="AJ28" s="2561"/>
      <c r="AK28" s="2561"/>
      <c r="AL28" s="2561"/>
      <c r="AM28" s="2561"/>
      <c r="AN28" s="2561"/>
      <c r="AO28" s="2561"/>
      <c r="AP28" s="2561"/>
      <c r="AQ28" s="2561"/>
      <c r="AR28" s="2561"/>
      <c r="AS28" s="1608"/>
    </row>
    <row customHeight="1" ht="14.25">
      <c r="Q29" s="652"/>
      <c r="R29" s="737"/>
      <c r="S29" s="1641"/>
      <c r="T29" s="724"/>
      <c r="U29" s="724"/>
      <c r="V29" s="683"/>
      <c r="W29" s="683"/>
      <c r="X29" s="683"/>
      <c r="Y29" s="683"/>
      <c r="Z29" s="683"/>
      <c r="AA29" s="683"/>
      <c r="AB29" s="683"/>
      <c r="AC29" s="683"/>
      <c r="AD29" s="683"/>
      <c r="AE29" s="683"/>
      <c r="AF29" s="683"/>
      <c r="AG29" s="683"/>
      <c r="AH29" s="683"/>
      <c r="AI29" s="683"/>
      <c r="AJ29" s="683"/>
      <c r="AK29" s="683"/>
      <c r="AL29" s="683"/>
      <c r="AM29" s="683"/>
      <c r="AN29" s="683"/>
      <c r="AO29" s="683"/>
      <c r="AP29" s="683"/>
      <c r="AQ29" s="683"/>
      <c r="AR29" s="683"/>
      <c r="AS29" s="683"/>
      <c r="AT29" s="870"/>
    </row>
    <row s="32230" customFormat="1" customHeight="1" ht="25.5">
      <c r="A30" s="1734"/>
      <c r="B30" s="1734"/>
      <c r="C30" s="1734"/>
      <c r="D30" s="1734"/>
      <c r="E30" s="1734"/>
      <c r="F30" s="1734"/>
      <c r="G30" s="1734"/>
      <c r="H30" s="1734"/>
      <c r="I30" s="1734"/>
      <c r="J30" s="1734"/>
      <c r="K30" s="1734"/>
      <c r="L30" s="1735"/>
      <c r="M30" s="1734"/>
      <c r="N30" s="1734"/>
      <c r="O30" s="1734"/>
      <c r="P30" s="1734"/>
      <c r="Q30" s="1734"/>
      <c r="S30" s="2518" t="s">
        <v>38</v>
      </c>
      <c r="T30" s="2518"/>
      <c r="U30" s="1738"/>
      <c r="V30" s="2520" t="str">
        <f>IF(TITLE_NAME_OR_PR_CHANGE="",IF(TITLE_NAME_OR_PR="","",TITLE_NAME_OR_PR),TITLE_NAME_OR_PR_CHANGE)</f>
        <v>Комитет по тарифному регулированию Мурманской области</v>
      </c>
      <c r="W30" s="2520"/>
      <c r="X30" s="2520"/>
      <c r="Y30" s="2520"/>
      <c r="Z30" s="2520"/>
      <c r="AA30" s="687"/>
      <c r="AB30" s="2520" t="str">
        <f>IF(TITLE_NAME_OR_PR_CHANGE="",IF(TITLE_NAME_OR_PR="","",TITLE_NAME_OR_PR),TITLE_NAME_OR_PR_CHANGE)</f>
        <v>Комитет по тарифному регулированию Мурманской области</v>
      </c>
      <c r="AC30" s="2520"/>
      <c r="AD30" s="2520"/>
      <c r="AE30" s="2520"/>
      <c r="AF30" s="2520"/>
      <c r="AG30" s="2520"/>
      <c r="AH30" s="2520"/>
      <c r="AI30" s="2520"/>
      <c r="AJ30" s="2520"/>
      <c r="AK30" s="2520"/>
      <c r="AL30" s="2520"/>
      <c r="AM30" s="2520"/>
      <c r="AN30" s="2520"/>
      <c r="AO30" s="2520"/>
      <c r="AP30" s="2520"/>
      <c r="AQ30" s="2520"/>
      <c r="AR30" s="2520"/>
      <c r="AS30" s="687"/>
      <c r="AT30" s="687"/>
      <c r="AU30" s="641"/>
      <c r="AV30" s="729"/>
      <c r="AW30" s="729"/>
      <c r="AX30" s="729"/>
      <c r="AY30" s="729"/>
      <c r="AZ30" s="729"/>
    </row>
    <row s="32230" customFormat="1" customHeight="1" ht="18.75">
      <c r="A31" s="1734"/>
      <c r="B31" s="1734"/>
      <c r="C31" s="1734"/>
      <c r="D31" s="1734"/>
      <c r="E31" s="1734"/>
      <c r="F31" s="1734"/>
      <c r="G31" s="1734"/>
      <c r="H31" s="1734"/>
      <c r="I31" s="1734"/>
      <c r="J31" s="1734"/>
      <c r="K31" s="1734"/>
      <c r="L31" s="1735"/>
      <c r="M31" s="1734"/>
      <c r="N31" s="1734"/>
      <c r="O31" s="1734"/>
      <c r="P31" s="1734"/>
      <c r="Q31" s="1734"/>
      <c r="S31" s="2518" t="s">
        <v>462</v>
      </c>
      <c r="T31" s="2518"/>
      <c r="U31" s="1738"/>
      <c r="V31" s="2519" t="str">
        <f>IF(TITLE_DATE_PR_CHANGE="",IF(TITLE_DATE_PR="","",TITLE_DATE_PR),TITLE_DATE_PR_CHANGE)</f>
        <v>45280</v>
      </c>
      <c r="W31" s="2519"/>
      <c r="X31" s="2519"/>
      <c r="Y31" s="2519"/>
      <c r="Z31" s="2519"/>
      <c r="AA31" s="687"/>
      <c r="AB31" s="2519" t="str">
        <f>IF(TITLE_DATE_PR_CHANGE="",IF(TITLE_DATE_PR="","",TITLE_DATE_PR),TITLE_DATE_PR_CHANGE)</f>
        <v>45280</v>
      </c>
      <c r="AC31" s="2519"/>
      <c r="AD31" s="2519"/>
      <c r="AE31" s="2519"/>
      <c r="AF31" s="2519"/>
      <c r="AG31" s="2519"/>
      <c r="AH31" s="2519"/>
      <c r="AI31" s="2519"/>
      <c r="AJ31" s="2519"/>
      <c r="AK31" s="2519"/>
      <c r="AL31" s="2519"/>
      <c r="AM31" s="2519"/>
      <c r="AN31" s="2519"/>
      <c r="AO31" s="2519"/>
      <c r="AP31" s="2519"/>
      <c r="AQ31" s="2519"/>
      <c r="AR31" s="2519"/>
      <c r="AS31" s="687"/>
      <c r="AT31" s="687"/>
      <c r="AU31" s="641"/>
      <c r="AV31" s="729"/>
      <c r="AW31" s="729"/>
      <c r="AX31" s="729"/>
      <c r="AY31" s="729"/>
      <c r="AZ31" s="729"/>
    </row>
    <row s="32230" customFormat="1" customHeight="1" ht="18.75">
      <c r="A32" s="1734"/>
      <c r="B32" s="1734"/>
      <c r="C32" s="1734"/>
      <c r="D32" s="1734"/>
      <c r="E32" s="1734"/>
      <c r="F32" s="1734"/>
      <c r="G32" s="1734"/>
      <c r="H32" s="1734"/>
      <c r="I32" s="1734"/>
      <c r="J32" s="1734"/>
      <c r="K32" s="1734"/>
      <c r="L32" s="1735"/>
      <c r="M32" s="1734"/>
      <c r="N32" s="1734"/>
      <c r="O32" s="1734"/>
      <c r="P32" s="1734"/>
      <c r="Q32" s="1734"/>
      <c r="S32" s="2518" t="s">
        <v>463</v>
      </c>
      <c r="T32" s="2518"/>
      <c r="U32" s="1738"/>
      <c r="V32" s="2520" t="str">
        <f>IF(TITLE_NUMBER_PR_CHANGE="",IF(TITLE_NUMBER_PR="","",TITLE_NUMBER_PR),TITLE_NUMBER_PR_CHANGE)</f>
        <v>51/16</v>
      </c>
      <c r="W32" s="2520"/>
      <c r="X32" s="2520"/>
      <c r="Y32" s="2520"/>
      <c r="Z32" s="2520"/>
      <c r="AA32" s="687"/>
      <c r="AB32" s="2520" t="str">
        <f>IF(TITLE_NUMBER_PR_CHANGE="",IF(TITLE_NUMBER_PR="","",TITLE_NUMBER_PR),TITLE_NUMBER_PR_CHANGE)</f>
        <v>51/16</v>
      </c>
      <c r="AC32" s="2520"/>
      <c r="AD32" s="2520"/>
      <c r="AE32" s="2520"/>
      <c r="AF32" s="2520"/>
      <c r="AG32" s="2520"/>
      <c r="AH32" s="2520"/>
      <c r="AI32" s="2520"/>
      <c r="AJ32" s="2520"/>
      <c r="AK32" s="2520"/>
      <c r="AL32" s="2520"/>
      <c r="AM32" s="2520"/>
      <c r="AN32" s="2520"/>
      <c r="AO32" s="2520"/>
      <c r="AP32" s="2520"/>
      <c r="AQ32" s="2520"/>
      <c r="AR32" s="2520"/>
      <c r="AS32" s="687"/>
      <c r="AT32" s="687"/>
      <c r="AU32" s="641"/>
      <c r="AV32" s="729"/>
      <c r="AW32" s="729"/>
      <c r="AX32" s="729"/>
      <c r="AY32" s="729"/>
      <c r="AZ32" s="729"/>
    </row>
    <row s="32230" customFormat="1" customHeight="1" ht="18.75">
      <c r="A33" s="1734"/>
      <c r="B33" s="1734"/>
      <c r="C33" s="1734"/>
      <c r="D33" s="1734"/>
      <c r="E33" s="1734"/>
      <c r="F33" s="1734"/>
      <c r="G33" s="1734"/>
      <c r="H33" s="1734"/>
      <c r="I33" s="1734"/>
      <c r="J33" s="1734"/>
      <c r="K33" s="1734"/>
      <c r="L33" s="1735"/>
      <c r="M33" s="1734"/>
      <c r="N33" s="1734"/>
      <c r="O33" s="1734"/>
      <c r="P33" s="1734"/>
      <c r="Q33" s="1734"/>
      <c r="S33" s="2518" t="s">
        <v>40</v>
      </c>
      <c r="T33" s="2518"/>
      <c r="U33" s="1738"/>
      <c r="V33" s="2520" t="str">
        <f>IF(TITLE_IST_PUB_CHANGE="",IF(TITLE_IST_PUB="","",TITLE_IST_PUB),TITLE_IST_PUB_CHANGE)</f>
        <v>https://npa.gov-murman.ru/bitrix/components/b1team/govmurman.element.file/download.php?ID=508455&amp;FID=750728</v>
      </c>
      <c r="W33" s="2520"/>
      <c r="X33" s="2520"/>
      <c r="Y33" s="2520"/>
      <c r="Z33" s="2520"/>
      <c r="AA33" s="687"/>
      <c r="AB33" s="2520" t="str">
        <f>IF(TITLE_IST_PUB_CHANGE="",IF(TITLE_IST_PUB="","",TITLE_IST_PUB),TITLE_IST_PUB_CHANGE)</f>
        <v>https://npa.gov-murman.ru/bitrix/components/b1team/govmurman.element.file/download.php?ID=508455&amp;FID=750728</v>
      </c>
      <c r="AC33" s="2520"/>
      <c r="AD33" s="2520"/>
      <c r="AE33" s="2520"/>
      <c r="AF33" s="2520"/>
      <c r="AG33" s="2520"/>
      <c r="AH33" s="2520"/>
      <c r="AI33" s="2520"/>
      <c r="AJ33" s="2520"/>
      <c r="AK33" s="2520"/>
      <c r="AL33" s="2520"/>
      <c r="AM33" s="2520"/>
      <c r="AN33" s="2520"/>
      <c r="AO33" s="2520"/>
      <c r="AP33" s="2520"/>
      <c r="AQ33" s="2520"/>
      <c r="AR33" s="2520"/>
      <c r="AS33" s="687"/>
      <c r="AT33" s="687"/>
      <c r="AU33" s="641"/>
      <c r="AV33" s="729"/>
      <c r="AW33" s="729"/>
      <c r="AX33" s="729"/>
      <c r="AY33" s="729"/>
      <c r="AZ33" s="729"/>
    </row>
    <row customHeight="1" ht="14.25" hidden="1">
      <c r="Q34" s="652"/>
      <c r="R34" s="737"/>
      <c r="S34" s="1641"/>
      <c r="T34" s="724"/>
      <c r="U34" s="724"/>
      <c r="V34" s="683"/>
      <c r="W34" s="683"/>
      <c r="X34" s="683"/>
      <c r="Y34" s="683"/>
      <c r="Z34" s="683"/>
      <c r="AA34" s="683"/>
      <c r="AB34" s="683"/>
      <c r="AC34" s="683"/>
      <c r="AD34" s="683"/>
      <c r="AE34" s="683"/>
      <c r="AF34" s="683"/>
      <c r="AG34" s="683"/>
      <c r="AH34" s="683"/>
      <c r="AI34" s="683"/>
      <c r="AJ34" s="683"/>
      <c r="AK34" s="683"/>
      <c r="AL34" s="683"/>
      <c r="AM34" s="683"/>
      <c r="AN34" s="683"/>
      <c r="AO34" s="683"/>
      <c r="AP34" s="683"/>
      <c r="AQ34" s="683"/>
      <c r="AR34" s="683"/>
      <c r="AS34" s="683"/>
      <c r="AT34" s="870"/>
    </row>
    <row s="32230" customFormat="1" customHeight="1" ht="18.75" hidden="1">
      <c r="A35" s="1734"/>
      <c r="B35" s="1734"/>
      <c r="C35" s="1734"/>
      <c r="D35" s="1734"/>
      <c r="E35" s="1734"/>
      <c r="F35" s="1734"/>
      <c r="G35" s="1734"/>
      <c r="H35" s="1734"/>
      <c r="I35" s="1734"/>
      <c r="J35" s="1734"/>
      <c r="K35" s="1734"/>
      <c r="L35" s="1735"/>
      <c r="M35" s="1734"/>
      <c r="N35" s="1734"/>
      <c r="O35" s="1734"/>
      <c r="P35" s="1734"/>
      <c r="Q35" s="1734"/>
      <c r="S35" s="2518" t="s">
        <v>462</v>
      </c>
      <c r="T35" s="2518"/>
      <c r="U35" s="1738"/>
      <c r="V35" s="2519" t="str">
        <f>IF(TITLE_DATE_PR_CHANGE="",IF(TITLE_DATE_PR="","",TITLE_DATE_PR),TITLE_DATE_PR_CHANGE)</f>
        <v>45280</v>
      </c>
      <c r="W35" s="2519"/>
      <c r="X35" s="2519"/>
      <c r="Y35" s="2519"/>
      <c r="Z35" s="2519"/>
      <c r="AA35" s="687"/>
      <c r="AB35" s="2519" t="str">
        <f>IF(TITLE_DATE_PR_CHANGE="",IF(TITLE_DATE_PR="","",TITLE_DATE_PR),TITLE_DATE_PR_CHANGE)</f>
        <v>45280</v>
      </c>
      <c r="AC35" s="2519"/>
      <c r="AD35" s="2519"/>
      <c r="AE35" s="2519"/>
      <c r="AF35" s="2519"/>
      <c r="AG35" s="2519"/>
      <c r="AH35" s="2519"/>
      <c r="AI35" s="2519"/>
      <c r="AJ35" s="2519"/>
      <c r="AK35" s="2519"/>
      <c r="AL35" s="2519"/>
      <c r="AM35" s="2519"/>
      <c r="AN35" s="2519"/>
      <c r="AO35" s="2519"/>
      <c r="AP35" s="2519"/>
      <c r="AQ35" s="2519"/>
      <c r="AR35" s="2519"/>
      <c r="AS35" s="687"/>
      <c r="AT35" s="687"/>
      <c r="AU35" s="641"/>
      <c r="AV35" s="729"/>
      <c r="AW35" s="729"/>
      <c r="AX35" s="729"/>
      <c r="AY35" s="729"/>
      <c r="AZ35" s="729"/>
    </row>
    <row s="32230" customFormat="1" customHeight="1" ht="18" hidden="1">
      <c r="A36" s="1734"/>
      <c r="B36" s="1734"/>
      <c r="C36" s="1734"/>
      <c r="D36" s="1734"/>
      <c r="E36" s="1734"/>
      <c r="F36" s="1734"/>
      <c r="G36" s="1734"/>
      <c r="H36" s="1734"/>
      <c r="I36" s="1734"/>
      <c r="J36" s="1734"/>
      <c r="K36" s="1734"/>
      <c r="L36" s="1735"/>
      <c r="M36" s="1734"/>
      <c r="N36" s="1734"/>
      <c r="O36" s="1734"/>
      <c r="P36" s="1734"/>
      <c r="Q36" s="1734"/>
      <c r="S36" s="2518" t="s">
        <v>463</v>
      </c>
      <c r="T36" s="2518"/>
      <c r="U36" s="1738"/>
      <c r="V36" s="2520" t="str">
        <f>IF(TITLE_NUMBER_PR_CHANGE="",IF(TITLE_NUMBER_PR="","",TITLE_NUMBER_PR),TITLE_NUMBER_PR_CHANGE)</f>
        <v>51/16</v>
      </c>
      <c r="W36" s="2520"/>
      <c r="X36" s="2520"/>
      <c r="Y36" s="2520"/>
      <c r="Z36" s="2520"/>
      <c r="AA36" s="687"/>
      <c r="AB36" s="2520" t="str">
        <f>IF(TITLE_NUMBER_PR_CHANGE="",IF(TITLE_NUMBER_PR="","",TITLE_NUMBER_PR),TITLE_NUMBER_PR_CHANGE)</f>
        <v>51/16</v>
      </c>
      <c r="AC36" s="2520"/>
      <c r="AD36" s="2520"/>
      <c r="AE36" s="2520"/>
      <c r="AF36" s="2520"/>
      <c r="AG36" s="2520"/>
      <c r="AH36" s="2520"/>
      <c r="AI36" s="2520"/>
      <c r="AJ36" s="2520"/>
      <c r="AK36" s="2520"/>
      <c r="AL36" s="2520"/>
      <c r="AM36" s="2520"/>
      <c r="AN36" s="2520"/>
      <c r="AO36" s="2520"/>
      <c r="AP36" s="2520"/>
      <c r="AQ36" s="2520"/>
      <c r="AR36" s="2520"/>
      <c r="AS36" s="687"/>
      <c r="AT36" s="687"/>
      <c r="AU36" s="641"/>
      <c r="AV36" s="729"/>
      <c r="AW36" s="729"/>
      <c r="AX36" s="729"/>
      <c r="AY36" s="729"/>
      <c r="AZ36" s="729"/>
    </row>
    <row s="32230" customFormat="1" customHeight="1" ht="0.75">
      <c r="A37" s="1734"/>
      <c r="B37" s="1734"/>
      <c r="C37" s="1734"/>
      <c r="D37" s="1734"/>
      <c r="E37" s="1734"/>
      <c r="F37" s="1734"/>
      <c r="G37" s="1734"/>
      <c r="H37" s="1734"/>
      <c r="I37" s="1734"/>
      <c r="J37" s="1734"/>
      <c r="K37" s="1734"/>
      <c r="L37" s="1735"/>
      <c r="M37" s="1734"/>
      <c r="N37" s="1734"/>
      <c r="O37" s="1734"/>
      <c r="P37" s="1734"/>
      <c r="Q37" s="1734"/>
      <c r="S37" s="684"/>
      <c r="T37" s="684"/>
      <c r="U37" s="1706"/>
      <c r="V37" s="687"/>
      <c r="W37" s="687"/>
      <c r="X37" s="687"/>
      <c r="Y37" s="687"/>
      <c r="Z37" s="687"/>
      <c r="AA37" s="639" t="s">
        <v>466</v>
      </c>
      <c r="AB37" s="687"/>
      <c r="AC37" s="687"/>
      <c r="AD37" s="687"/>
      <c r="AE37" s="687"/>
      <c r="AF37" s="687"/>
      <c r="AG37" s="687"/>
      <c r="AH37" s="687"/>
      <c r="AI37" s="687"/>
      <c r="AJ37" s="687"/>
      <c r="AK37" s="687"/>
      <c r="AL37" s="687"/>
      <c r="AM37" s="687"/>
      <c r="AN37" s="687"/>
      <c r="AO37" s="687"/>
      <c r="AP37" s="687"/>
      <c r="AQ37" s="687"/>
      <c r="AR37" s="687"/>
      <c r="AS37" s="639" t="s">
        <v>466</v>
      </c>
      <c r="AV37" s="729"/>
      <c r="AW37" s="729"/>
      <c r="AX37" s="729"/>
      <c r="AY37" s="729"/>
      <c r="AZ37" s="729"/>
    </row>
    <row customHeight="1" ht="14.25">
      <c r="Q38" s="652"/>
      <c r="R38" s="737"/>
      <c r="S38" s="1641"/>
      <c r="T38" s="724"/>
      <c r="U38" s="1609"/>
      <c r="V38" s="2544"/>
      <c r="W38" s="2544"/>
      <c r="X38" s="2544"/>
      <c r="Y38" s="2544"/>
      <c r="Z38" s="2544"/>
      <c r="AA38" s="2544"/>
      <c r="AB38" s="2544"/>
      <c r="AC38" s="2544"/>
      <c r="AD38" s="2544"/>
      <c r="AE38" s="2544"/>
      <c r="AF38" s="2544"/>
      <c r="AG38" s="2544"/>
      <c r="AH38" s="2544"/>
      <c r="AI38" s="2544"/>
      <c r="AJ38" s="2544"/>
      <c r="AK38" s="2544"/>
      <c r="AL38" s="2544"/>
      <c r="AM38" s="2544"/>
      <c r="AN38" s="2544"/>
      <c r="AO38" s="2544"/>
      <c r="AP38" s="2544"/>
      <c r="AQ38" s="2544"/>
      <c r="AR38" s="2544"/>
      <c r="AS38" s="2544"/>
    </row>
    <row customHeight="1" ht="14.25">
      <c r="Q39" s="652"/>
      <c r="R39" s="737"/>
      <c r="S39" s="2392" t="s">
        <v>341</v>
      </c>
      <c r="T39" s="2392"/>
      <c r="U39" s="2392"/>
      <c r="V39" s="2392"/>
      <c r="W39" s="2392"/>
      <c r="X39" s="2392"/>
      <c r="Y39" s="2392"/>
      <c r="Z39" s="2392"/>
      <c r="AA39" s="2392"/>
      <c r="AB39" s="2449"/>
      <c r="AC39" s="2449"/>
      <c r="AD39" s="2449"/>
      <c r="AE39" s="2449"/>
      <c r="AF39" s="2392"/>
      <c r="AG39" s="2392"/>
      <c r="AH39" s="2392"/>
      <c r="AI39" s="2392"/>
      <c r="AJ39" s="2392"/>
      <c r="AK39" s="2392"/>
      <c r="AL39" s="2392"/>
      <c r="AM39" s="2392"/>
      <c r="AN39" s="2392"/>
      <c r="AO39" s="2392"/>
      <c r="AP39" s="2392"/>
      <c r="AQ39" s="2392"/>
      <c r="AR39" s="2392"/>
      <c r="AS39" s="2392"/>
      <c r="AT39" s="2392"/>
      <c r="AU39" s="2392" t="s">
        <v>342</v>
      </c>
    </row>
    <row customHeight="1" ht="14.25">
      <c r="Q40" s="652"/>
      <c r="R40" s="737"/>
      <c r="S40" s="2545" t="s">
        <v>87</v>
      </c>
      <c r="T40" s="2482" t="s">
        <v>511</v>
      </c>
      <c r="U40" s="662"/>
      <c r="V40" s="2547"/>
      <c r="W40" s="2547"/>
      <c r="X40" s="2547"/>
      <c r="Y40" s="2547"/>
      <c r="Z40" s="2548"/>
      <c r="AA40" s="2609" t="s">
        <v>469</v>
      </c>
      <c r="AB40" s="2593" t="s">
        <v>512</v>
      </c>
      <c r="AC40" s="2568"/>
      <c r="AD40" s="2568"/>
      <c r="AE40" s="2594"/>
      <c r="AF40" s="2568" t="s">
        <v>513</v>
      </c>
      <c r="AG40" s="2568"/>
      <c r="AH40" s="2568"/>
      <c r="AI40" s="2594"/>
      <c r="AJ40" s="2593" t="s">
        <v>514</v>
      </c>
      <c r="AK40" s="2568"/>
      <c r="AL40" s="2568"/>
      <c r="AM40" s="2594"/>
      <c r="AN40" s="2593" t="s">
        <v>468</v>
      </c>
      <c r="AO40" s="2568"/>
      <c r="AP40" s="2547"/>
      <c r="AQ40" s="2547"/>
      <c r="AR40" s="2548"/>
      <c r="AS40" s="2549" t="s">
        <v>469</v>
      </c>
      <c r="AT40" s="2552" t="s">
        <v>471</v>
      </c>
      <c r="AU40" s="2392"/>
    </row>
    <row customHeight="1" ht="33.75">
      <c r="Q41" s="652"/>
      <c r="R41" s="737"/>
      <c r="S41" s="2545"/>
      <c r="T41" s="2482"/>
      <c r="U41" s="1393"/>
      <c r="V41" s="2450" t="s">
        <v>515</v>
      </c>
      <c r="W41" s="2451"/>
      <c r="X41" s="2566" t="s">
        <v>475</v>
      </c>
      <c r="Y41" s="2584"/>
      <c r="Z41" s="2585"/>
      <c r="AA41" s="2610"/>
      <c r="AB41" s="2595"/>
      <c r="AC41" s="2596"/>
      <c r="AD41" s="2596"/>
      <c r="AE41" s="2608"/>
      <c r="AF41" s="2596"/>
      <c r="AG41" s="2596"/>
      <c r="AH41" s="2596"/>
      <c r="AI41" s="2608"/>
      <c r="AJ41" s="2595"/>
      <c r="AK41" s="2596"/>
      <c r="AL41" s="2596"/>
      <c r="AM41" s="2596"/>
      <c r="AN41" s="2392" t="s">
        <v>516</v>
      </c>
      <c r="AO41" s="2392"/>
      <c r="AP41" s="2584" t="s">
        <v>475</v>
      </c>
      <c r="AQ41" s="2584"/>
      <c r="AR41" s="2585"/>
      <c r="AS41" s="2550"/>
      <c r="AT41" s="2553"/>
      <c r="AU41" s="2392"/>
    </row>
    <row customHeight="1" ht="14.25">
      <c r="Q42" s="652"/>
      <c r="R42" s="737"/>
      <c r="S42" s="2545"/>
      <c r="T42" s="2482"/>
      <c r="U42" s="1393"/>
      <c r="V42" s="2458"/>
      <c r="W42" s="2459"/>
      <c r="X42" s="2567"/>
      <c r="Y42" s="2586"/>
      <c r="Z42" s="2587"/>
      <c r="AA42" s="2610"/>
      <c r="AB42" s="2595"/>
      <c r="AC42" s="2596"/>
      <c r="AD42" s="2596"/>
      <c r="AE42" s="2608"/>
      <c r="AF42" s="2596"/>
      <c r="AG42" s="2596"/>
      <c r="AH42" s="2596"/>
      <c r="AI42" s="2608"/>
      <c r="AJ42" s="2595"/>
      <c r="AK42" s="2596"/>
      <c r="AL42" s="2596"/>
      <c r="AM42" s="2596"/>
      <c r="AN42" s="2612"/>
      <c r="AO42" s="2612"/>
      <c r="AP42" s="2586"/>
      <c r="AQ42" s="2586"/>
      <c r="AR42" s="2587"/>
      <c r="AS42" s="2550"/>
      <c r="AT42" s="2553"/>
      <c r="AU42" s="2392"/>
    </row>
    <row customHeight="1" ht="14.25">
      <c r="A43" s="1736"/>
      <c r="B43" s="1736" t="s">
        <v>143</v>
      </c>
      <c r="C43" s="1736" t="s">
        <v>144</v>
      </c>
      <c r="D43" s="1736" t="s">
        <v>145</v>
      </c>
      <c r="E43" s="1730" t="s">
        <v>476</v>
      </c>
      <c r="F43" s="1730" t="s">
        <v>477</v>
      </c>
      <c r="G43" s="1730" t="s">
        <v>478</v>
      </c>
      <c r="H43" s="1730" t="s">
        <v>479</v>
      </c>
      <c r="I43" s="1730" t="s">
        <v>480</v>
      </c>
      <c r="J43" s="1730" t="s">
        <v>481</v>
      </c>
      <c r="K43" s="1730" t="s">
        <v>482</v>
      </c>
      <c r="L43" s="1730" t="s">
        <v>457</v>
      </c>
      <c r="Q43" s="652"/>
      <c r="R43" s="737"/>
      <c r="S43" s="2545"/>
      <c r="T43" s="2482"/>
      <c r="U43" s="663"/>
      <c r="V43" s="1696" t="s">
        <v>517</v>
      </c>
      <c r="W43" s="1696" t="s">
        <v>518</v>
      </c>
      <c r="X43" s="1704" t="s">
        <v>485</v>
      </c>
      <c r="Y43" s="2541" t="s">
        <v>486</v>
      </c>
      <c r="Z43" s="2542"/>
      <c r="AA43" s="2611"/>
      <c r="AB43" s="2597"/>
      <c r="AC43" s="2598"/>
      <c r="AD43" s="2598"/>
      <c r="AE43" s="2599"/>
      <c r="AF43" s="2598"/>
      <c r="AG43" s="2598"/>
      <c r="AH43" s="2598"/>
      <c r="AI43" s="2599"/>
      <c r="AJ43" s="2597"/>
      <c r="AK43" s="2598"/>
      <c r="AL43" s="2598"/>
      <c r="AM43" s="2599"/>
      <c r="AN43" s="2227" t="s">
        <v>517</v>
      </c>
      <c r="AO43" s="2227" t="s">
        <v>518</v>
      </c>
      <c r="AP43" s="1704" t="s">
        <v>485</v>
      </c>
      <c r="AQ43" s="2541" t="s">
        <v>486</v>
      </c>
      <c r="AR43" s="2542"/>
      <c r="AS43" s="2551"/>
      <c r="AT43" s="2554"/>
      <c r="AU43" s="2392"/>
    </row>
    <row s="32049" customFormat="1" customHeight="1" ht="11.25" hidden="1">
      <c r="A44" s="1736"/>
      <c r="B44" s="1736"/>
      <c r="C44" s="1736"/>
      <c r="D44" s="1736"/>
      <c r="E44" s="1736"/>
      <c r="F44" s="1736"/>
      <c r="G44" s="1736"/>
      <c r="H44" s="1736"/>
      <c r="I44" s="1736"/>
      <c r="J44" s="1736"/>
      <c r="K44" s="1736"/>
      <c r="L44" s="1730"/>
      <c r="M44" s="1728"/>
      <c r="N44" s="1728"/>
      <c r="O44" s="1728"/>
      <c r="P44" s="871"/>
      <c r="Q44" s="1619"/>
      <c r="R44" s="1619">
        <v>1</v>
      </c>
      <c r="S44" s="1643" t="s">
        <v>118</v>
      </c>
      <c r="T44" s="1620" t="s">
        <v>102</v>
      </c>
      <c r="U44" s="1610" t="str">
        <f>OFFSET(U44,0,-1)</f>
        <v>2</v>
      </c>
      <c r="V44" s="1701">
        <f>OFFSET(V44,0,-1)+1</f>
        <v>3</v>
      </c>
      <c r="W44" s="1701">
        <f>OFFSET(W44,0,-1)+1</f>
        <v>4</v>
      </c>
      <c r="X44" s="1701">
        <f>OFFSET(X44,0,-1)+1</f>
        <v>5</v>
      </c>
      <c r="Y44" s="2543">
        <f>OFFSET(Y44,0,-1)+1</f>
        <v>6</v>
      </c>
      <c r="Z44" s="2543"/>
      <c r="AA44" s="1701">
        <f>OFFSET(AA44,0,-2)+1</f>
        <v>7</v>
      </c>
      <c r="AB44" s="1707">
        <f>OFFSET(AB44,0,-1)+1</f>
        <v>8</v>
      </c>
      <c r="AC44" s="1707"/>
      <c r="AD44" s="1707"/>
      <c r="AE44" s="1707"/>
      <c r="AF44" s="1701"/>
      <c r="AG44" s="1701"/>
      <c r="AH44" s="1701"/>
      <c r="AI44" s="1701"/>
      <c r="AJ44" s="1701"/>
      <c r="AK44" s="1701"/>
      <c r="AL44" s="1701"/>
      <c r="AM44" s="1701"/>
      <c r="AN44" s="1701">
        <f>OFFSET(AN44,0,-1)+1</f>
        <v>1</v>
      </c>
      <c r="AO44" s="1701">
        <f>OFFSET(AO44,0,-1)+1</f>
        <v>2</v>
      </c>
      <c r="AP44" s="1701">
        <f>OFFSET(AP44,0,-1)+1</f>
        <v>3</v>
      </c>
      <c r="AQ44" s="2543">
        <f>OFFSET(AQ44,0,-1)+1</f>
        <v>4</v>
      </c>
      <c r="AR44" s="2543"/>
      <c r="AS44" s="1701">
        <f>OFFSET(AS44,0,-2)+1</f>
        <v>5</v>
      </c>
      <c r="AT44" s="1610">
        <f>OFFSET(AT44,0,-1)</f>
        <v>5</v>
      </c>
      <c r="AU44" s="1701">
        <f>OFFSET(AU44,0,-1)+1</f>
        <v>6</v>
      </c>
      <c r="AV44" s="872"/>
      <c r="AW44" s="872"/>
      <c r="AX44" s="872"/>
      <c r="AY44" s="872"/>
      <c r="AZ44" s="872"/>
    </row>
    <row customHeight="1" ht="102">
      <c r="A45" s="1729" t="s">
        <v>204</v>
      </c>
      <c r="B45" s="1729"/>
      <c r="C45" s="1729"/>
      <c r="D45" s="1729"/>
      <c r="E45" s="2527">
        <v>1</v>
      </c>
      <c r="F45" s="1729"/>
      <c r="G45" s="1729"/>
      <c r="H45" s="1729"/>
      <c r="I45" s="1729"/>
      <c r="J45" s="1729"/>
      <c r="K45" s="1729"/>
      <c r="L45" s="1730"/>
      <c r="M45" s="1731"/>
      <c r="N45" s="1731"/>
      <c r="O45" s="1731"/>
      <c r="P45" s="1775"/>
      <c r="Q45" s="1234"/>
      <c r="R45" s="716"/>
      <c r="S45" s="1702">
        <f>INDEX(PT_DIFFERENTIATION_NUM_NTAR,MATCH(A45,PT_DIFFERENTIATION_NTAR_ID,0))</f>
        <v>0</v>
      </c>
      <c r="T45" s="659" t="s">
        <v>131</v>
      </c>
      <c r="U45" s="661"/>
      <c r="V45" s="2522"/>
      <c r="W45" s="2522"/>
      <c r="X45" s="2522"/>
      <c r="Y45" s="2522"/>
      <c r="Z45" s="2522"/>
      <c r="AA45" s="2523"/>
      <c r="AB45" s="2521" t="str">
        <f>INDEX(PT_DIFFERENTIATION_NTAR,MATCH(A45,PT_DIFFERENTIATION_NTAR_ID,0))</f>
        <v/>
      </c>
      <c r="AC45" s="2522"/>
      <c r="AD45" s="2522"/>
      <c r="AE45" s="2522"/>
      <c r="AF45" s="2522"/>
      <c r="AG45" s="2522"/>
      <c r="AH45" s="2522"/>
      <c r="AI45" s="2522"/>
      <c r="AJ45" s="2522"/>
      <c r="AK45" s="2522"/>
      <c r="AL45" s="2522"/>
      <c r="AM45" s="2522"/>
      <c r="AN45" s="2522"/>
      <c r="AO45" s="2522"/>
      <c r="AP45" s="2522"/>
      <c r="AQ45" s="2522"/>
      <c r="AR45" s="2522"/>
      <c r="AS45" s="2522"/>
      <c r="AT45" s="2523"/>
      <c r="AU45" s="16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861"/>
      <c r="AX45" s="861" t="str">
        <f>IF(T45="","",T45)</f>
        <v>Наименование тарифа</v>
      </c>
      <c r="AY45" s="861"/>
      <c r="AZ45" s="861"/>
    </row>
    <row customHeight="1" ht="21">
      <c r="A46" s="1729" t="s">
        <v>204</v>
      </c>
      <c r="B46" s="1729" t="s">
        <v>205</v>
      </c>
      <c r="C46" s="1729"/>
      <c r="D46" s="1729"/>
      <c r="E46" s="2528"/>
      <c r="F46" s="2527">
        <v>1</v>
      </c>
      <c r="G46" s="1729"/>
      <c r="H46" s="1729"/>
      <c r="I46" s="1729"/>
      <c r="J46" s="1729"/>
      <c r="K46" s="1729"/>
      <c r="L46" s="1730"/>
      <c r="M46" s="1731"/>
      <c r="N46" s="1731"/>
      <c r="O46" s="1731"/>
      <c r="P46" s="1776"/>
      <c r="Q46" s="1777"/>
      <c r="R46" s="714"/>
      <c r="S46" s="1702" t="str">
        <f>INDEX(PT_DIFFERENTIATION_NUM_TER,MATCH(B46,PT_DIFFERENTIATION_TER_ID,0))</f>
        <v>.</v>
      </c>
      <c r="T46" s="669" t="s">
        <v>438</v>
      </c>
      <c r="U46" s="661"/>
      <c r="V46" s="2522"/>
      <c r="W46" s="2522"/>
      <c r="X46" s="2522"/>
      <c r="Y46" s="2522"/>
      <c r="Z46" s="2522"/>
      <c r="AA46" s="2523"/>
      <c r="AB46" s="2521" t="str">
        <f>INDEX(PT_DIFFERENTIATION_TER,MATCH(B46,PT_DIFFERENTIATION_TER_ID,0))</f>
        <v/>
      </c>
      <c r="AC46" s="2522"/>
      <c r="AD46" s="2522"/>
      <c r="AE46" s="2522"/>
      <c r="AF46" s="2522"/>
      <c r="AG46" s="2522"/>
      <c r="AH46" s="2522"/>
      <c r="AI46" s="2522"/>
      <c r="AJ46" s="2522"/>
      <c r="AK46" s="2522"/>
      <c r="AL46" s="2522"/>
      <c r="AM46" s="2522"/>
      <c r="AN46" s="2522"/>
      <c r="AO46" s="2522"/>
      <c r="AP46" s="2522"/>
      <c r="AQ46" s="2522"/>
      <c r="AR46" s="2522"/>
      <c r="AS46" s="2522"/>
      <c r="AT46" s="2523"/>
      <c r="AU46" s="1623" t="s">
        <v>439</v>
      </c>
      <c r="AW46" s="861"/>
      <c r="AX46" s="861" t="str">
        <f>IF(T46="","",T46)</f>
        <v>Территория действия тарифа</v>
      </c>
      <c r="AY46" s="861"/>
      <c r="AZ46" s="861"/>
    </row>
    <row customHeight="1" ht="23.25">
      <c r="A47" s="1729" t="s">
        <v>204</v>
      </c>
      <c r="B47" s="1729" t="s">
        <v>205</v>
      </c>
      <c r="C47" s="1729" t="s">
        <v>206</v>
      </c>
      <c r="D47" s="1729"/>
      <c r="E47" s="2528"/>
      <c r="F47" s="2528"/>
      <c r="G47" s="2527">
        <v>1</v>
      </c>
      <c r="H47" s="1729"/>
      <c r="I47" s="1729"/>
      <c r="J47" s="1729"/>
      <c r="K47" s="1729"/>
      <c r="L47" s="1730"/>
      <c r="M47" s="1731"/>
      <c r="N47" s="1731"/>
      <c r="O47" s="1731"/>
      <c r="P47" s="1778"/>
      <c r="Q47" s="1777"/>
      <c r="R47" s="714"/>
      <c r="S47" s="1702" t="str">
        <f>INDEX(PT_DIFFERENTIATION_NUM_CS,MATCH(C47,PT_DIFFERENTIATION_CS_ID,0))</f>
        <v>..</v>
      </c>
      <c r="T47" s="670" t="s">
        <v>440</v>
      </c>
      <c r="U47" s="661"/>
      <c r="V47" s="2522"/>
      <c r="W47" s="2522"/>
      <c r="X47" s="2522"/>
      <c r="Y47" s="2522"/>
      <c r="Z47" s="2522"/>
      <c r="AA47" s="2523"/>
      <c r="AB47" s="2521" t="str">
        <f>INDEX(PT_DIFFERENTIATION_CS,MATCH(C47,PT_DIFFERENTIATION_CS_ID,0))</f>
        <v/>
      </c>
      <c r="AC47" s="2522"/>
      <c r="AD47" s="2522"/>
      <c r="AE47" s="2522"/>
      <c r="AF47" s="2522"/>
      <c r="AG47" s="2522"/>
      <c r="AH47" s="2522"/>
      <c r="AI47" s="2522"/>
      <c r="AJ47" s="2522"/>
      <c r="AK47" s="2522"/>
      <c r="AL47" s="2522"/>
      <c r="AM47" s="2522"/>
      <c r="AN47" s="2522"/>
      <c r="AO47" s="2522"/>
      <c r="AP47" s="2522"/>
      <c r="AQ47" s="2522"/>
      <c r="AR47" s="2522"/>
      <c r="AS47" s="2522"/>
      <c r="AT47" s="2523"/>
      <c r="AU47" s="1623" t="s">
        <v>441</v>
      </c>
      <c r="AW47" s="861"/>
      <c r="AX47" s="861" t="str">
        <f>IF(T47="","",T47)</f>
        <v>Наименование системы теплоснабжения </v>
      </c>
      <c r="AY47" s="861"/>
      <c r="AZ47" s="861"/>
    </row>
    <row customHeight="1" ht="21">
      <c r="A48" s="1729" t="s">
        <v>204</v>
      </c>
      <c r="B48" s="1729" t="s">
        <v>205</v>
      </c>
      <c r="C48" s="1729" t="s">
        <v>206</v>
      </c>
      <c r="D48" s="1729" t="s">
        <v>207</v>
      </c>
      <c r="E48" s="2528"/>
      <c r="F48" s="2528"/>
      <c r="G48" s="2528"/>
      <c r="H48" s="2527">
        <v>1</v>
      </c>
      <c r="I48" s="1729"/>
      <c r="J48" s="1729"/>
      <c r="K48" s="1729"/>
      <c r="L48" s="1730"/>
      <c r="M48" s="1731"/>
      <c r="N48" s="1731"/>
      <c r="O48" s="1731"/>
      <c r="P48" s="1778"/>
      <c r="Q48" s="1777"/>
      <c r="R48" s="714"/>
      <c r="S48" s="1702" t="str">
        <f>INDEX(PT_DIFFERENTIATION_NUM_IST_TE,MATCH(D48,PT_DIFFERENTIATION_IST_TE_ID,0))</f>
        <v>...</v>
      </c>
      <c r="T48" s="671" t="s">
        <v>442</v>
      </c>
      <c r="U48" s="661"/>
      <c r="V48" s="2522"/>
      <c r="W48" s="2522"/>
      <c r="X48" s="2522"/>
      <c r="Y48" s="2522"/>
      <c r="Z48" s="2522"/>
      <c r="AA48" s="2523"/>
      <c r="AB48" s="2521" t="str">
        <f>INDEX(PT_DIFFERENTIATION_IST_TE,MATCH(D48,PT_DIFFERENTIATION_IST_TE_ID,0))</f>
        <v/>
      </c>
      <c r="AC48" s="2522"/>
      <c r="AD48" s="2522"/>
      <c r="AE48" s="2522"/>
      <c r="AF48" s="2522"/>
      <c r="AG48" s="2522"/>
      <c r="AH48" s="2522"/>
      <c r="AI48" s="2522"/>
      <c r="AJ48" s="2522"/>
      <c r="AK48" s="2522"/>
      <c r="AL48" s="2522"/>
      <c r="AM48" s="2522"/>
      <c r="AN48" s="2522"/>
      <c r="AO48" s="2522"/>
      <c r="AP48" s="2522"/>
      <c r="AQ48" s="2522"/>
      <c r="AR48" s="2522"/>
      <c r="AS48" s="2522"/>
      <c r="AT48" s="2523"/>
      <c r="AU48" s="1623" t="s">
        <v>443</v>
      </c>
      <c r="AW48" s="861"/>
      <c r="AX48" s="861" t="str">
        <f>IF(T48="","",T48)</f>
        <v>Источник тепловой энергии  </v>
      </c>
      <c r="AY48" s="861"/>
      <c r="AZ48" s="861"/>
    </row>
    <row s="32289" customFormat="1" customHeight="1" ht="0">
      <c r="A49" s="1709" t="s">
        <v>204</v>
      </c>
      <c r="B49" s="1709" t="s">
        <v>205</v>
      </c>
      <c r="C49" s="1709" t="s">
        <v>206</v>
      </c>
      <c r="D49" s="1709" t="s">
        <v>207</v>
      </c>
      <c r="E49" s="2528"/>
      <c r="F49" s="2528"/>
      <c r="G49" s="2528"/>
      <c r="H49" s="2528"/>
      <c r="I49" s="2529" t="str">
        <f>S48&amp;".1"</f>
        <v>....1</v>
      </c>
      <c r="J49" s="1709"/>
      <c r="K49" s="1709"/>
      <c r="L49" s="1712" t="s">
        <v>444</v>
      </c>
      <c r="M49" s="871"/>
      <c r="N49" s="871"/>
      <c r="O49" s="871"/>
      <c r="P49" s="2531">
        <v>1</v>
      </c>
      <c r="Q49" s="1697"/>
      <c r="R49" s="717"/>
      <c r="S49" s="1404"/>
      <c r="T49" s="1749"/>
      <c r="U49" s="1750"/>
      <c r="V49" s="2570"/>
      <c r="W49" s="2570"/>
      <c r="X49" s="2570"/>
      <c r="Y49" s="2570"/>
      <c r="Z49" s="2570"/>
      <c r="AA49" s="2571"/>
      <c r="AB49" s="2569"/>
      <c r="AC49" s="2570"/>
      <c r="AD49" s="2570"/>
      <c r="AE49" s="2570"/>
      <c r="AF49" s="2570"/>
      <c r="AG49" s="2570"/>
      <c r="AH49" s="2570"/>
      <c r="AI49" s="2570"/>
      <c r="AJ49" s="2570"/>
      <c r="AK49" s="2570"/>
      <c r="AL49" s="2570"/>
      <c r="AM49" s="2570"/>
      <c r="AN49" s="2570"/>
      <c r="AO49" s="2570"/>
      <c r="AP49" s="2570"/>
      <c r="AQ49" s="2570"/>
      <c r="AR49" s="2570"/>
      <c r="AS49" s="2570"/>
      <c r="AT49" s="2571"/>
      <c r="AU49" s="1751"/>
      <c r="AW49" s="861"/>
      <c r="AX49" s="861" t="str">
        <f>IF(T49="","",T49)</f>
        <v/>
      </c>
      <c r="AY49" s="861"/>
      <c r="AZ49" s="861"/>
    </row>
    <row s="32289" customFormat="1" customHeight="1" ht="0">
      <c r="A50" s="1709" t="s">
        <v>204</v>
      </c>
      <c r="B50" s="1709" t="s">
        <v>205</v>
      </c>
      <c r="C50" s="1709" t="s">
        <v>206</v>
      </c>
      <c r="D50" s="1709" t="s">
        <v>207</v>
      </c>
      <c r="E50" s="2528"/>
      <c r="F50" s="2528"/>
      <c r="G50" s="2528"/>
      <c r="H50" s="2528"/>
      <c r="I50" s="2530"/>
      <c r="J50" s="2529" t="str">
        <f>S48&amp;".1"</f>
        <v>....1</v>
      </c>
      <c r="K50" s="1709"/>
      <c r="L50" s="1712"/>
      <c r="M50" s="871"/>
      <c r="N50" s="871"/>
      <c r="O50" s="871"/>
      <c r="P50" s="2531"/>
      <c r="Q50" s="2531">
        <v>1</v>
      </c>
      <c r="R50" s="718"/>
      <c r="S50" s="1404"/>
      <c r="T50" s="1765"/>
      <c r="U50" s="1750"/>
      <c r="V50" s="2570"/>
      <c r="W50" s="2570"/>
      <c r="X50" s="2570"/>
      <c r="Y50" s="2570"/>
      <c r="Z50" s="2570"/>
      <c r="AA50" s="2571"/>
      <c r="AB50" s="2569"/>
      <c r="AC50" s="2570"/>
      <c r="AD50" s="2570"/>
      <c r="AE50" s="2570"/>
      <c r="AF50" s="2570"/>
      <c r="AG50" s="2570"/>
      <c r="AH50" s="2570"/>
      <c r="AI50" s="2570"/>
      <c r="AJ50" s="2570"/>
      <c r="AK50" s="2570"/>
      <c r="AL50" s="2570"/>
      <c r="AM50" s="2570"/>
      <c r="AN50" s="2570"/>
      <c r="AO50" s="2570"/>
      <c r="AP50" s="2570"/>
      <c r="AQ50" s="2570"/>
      <c r="AR50" s="2570"/>
      <c r="AS50" s="2570"/>
      <c r="AT50" s="2571"/>
      <c r="AU50" s="1751"/>
      <c r="AW50" s="861"/>
      <c r="AX50" s="861" t="str">
        <f>IF(T50="","",T50)</f>
        <v/>
      </c>
      <c r="AY50" s="861"/>
      <c r="AZ50" s="861"/>
    </row>
    <row customHeight="1" ht="21">
      <c r="A51" s="1729" t="s">
        <v>204</v>
      </c>
      <c r="B51" s="1729" t="s">
        <v>205</v>
      </c>
      <c r="C51" s="1729" t="s">
        <v>206</v>
      </c>
      <c r="D51" s="1729" t="s">
        <v>207</v>
      </c>
      <c r="E51" s="2528"/>
      <c r="F51" s="2528"/>
      <c r="G51" s="2528"/>
      <c r="H51" s="2528"/>
      <c r="I51" s="2530"/>
      <c r="J51" s="2530"/>
      <c r="K51" s="2529" t="str">
        <f>S48&amp;".1"</f>
        <v>....1</v>
      </c>
      <c r="L51" s="1730"/>
      <c r="P51" s="2531"/>
      <c r="Q51" s="2531"/>
      <c r="R51" s="718">
        <v>1</v>
      </c>
      <c r="S51" s="2604" t="str">
        <f>$K51</f>
        <v>....1</v>
      </c>
      <c r="T51" s="2601"/>
      <c r="U51" s="661"/>
      <c r="V51" s="1112"/>
      <c r="W51" s="1622"/>
      <c r="X51" s="2100"/>
      <c r="Y51" s="1825" t="s">
        <v>66</v>
      </c>
      <c r="Z51" s="2100"/>
      <c r="AA51" s="1825" t="s">
        <v>66</v>
      </c>
      <c r="AB51" s="2402" t="s">
        <v>56</v>
      </c>
      <c r="AC51" s="2600"/>
      <c r="AD51" s="2478">
        <v>1</v>
      </c>
      <c r="AE51" s="2592" t="s">
        <v>24</v>
      </c>
      <c r="AF51" s="2402" t="s">
        <v>56</v>
      </c>
      <c r="AG51" s="2600"/>
      <c r="AH51" s="2478">
        <v>1</v>
      </c>
      <c r="AI51" s="2592" t="s">
        <v>24</v>
      </c>
      <c r="AJ51" s="2402" t="s">
        <v>56</v>
      </c>
      <c r="AK51" s="672"/>
      <c r="AL51" s="1703">
        <v>1</v>
      </c>
      <c r="AM51" s="1768"/>
      <c r="AN51" s="1112"/>
      <c r="AO51" s="1622"/>
      <c r="AP51" s="2100"/>
      <c r="AQ51" s="1825" t="s">
        <v>66</v>
      </c>
      <c r="AR51" s="2100"/>
      <c r="AS51" s="1825" t="s">
        <v>66</v>
      </c>
      <c r="AT51" s="1714"/>
      <c r="AU51" s="2557" t="s">
        <v>519</v>
      </c>
      <c r="AV51" s="872">
        <f>STRCHECKDATE(V54:AT54)</f>
      </c>
      <c r="AW51" s="861"/>
      <c r="AX51" s="861" t="str">
        <f>IF(T51="","",T51)</f>
        <v/>
      </c>
      <c r="AY51" s="861"/>
      <c r="AZ51" s="861"/>
    </row>
    <row customHeight="1" ht="11.25">
      <c r="A52" s="1729" t="s">
        <v>204</v>
      </c>
      <c r="B52" s="1729"/>
      <c r="C52" s="1729"/>
      <c r="D52" s="1729"/>
      <c r="E52" s="2528"/>
      <c r="F52" s="2528"/>
      <c r="G52" s="2528"/>
      <c r="H52" s="2528"/>
      <c r="I52" s="2530"/>
      <c r="J52" s="2530"/>
      <c r="K52" s="2529"/>
      <c r="L52" s="1730"/>
      <c r="P52" s="2531"/>
      <c r="Q52" s="2531"/>
      <c r="R52" s="718"/>
      <c r="S52" s="2605"/>
      <c r="T52" s="2602"/>
      <c r="U52" s="661"/>
      <c r="V52" s="1759"/>
      <c r="W52" s="1862"/>
      <c r="X52" s="1759"/>
      <c r="Y52" s="1759"/>
      <c r="Z52" s="1759"/>
      <c r="AA52" s="1759"/>
      <c r="AB52" s="2402"/>
      <c r="AC52" s="2600"/>
      <c r="AD52" s="2478"/>
      <c r="AE52" s="2592"/>
      <c r="AF52" s="2402"/>
      <c r="AG52" s="2600"/>
      <c r="AH52" s="2478"/>
      <c r="AI52" s="2592"/>
      <c r="AJ52" s="2402"/>
      <c r="AK52" s="677"/>
      <c r="AL52" s="777"/>
      <c r="AM52" s="776" t="s">
        <v>503</v>
      </c>
      <c r="AN52" s="1759"/>
      <c r="AO52" s="1862"/>
      <c r="AP52" s="1759"/>
      <c r="AQ52" s="1759"/>
      <c r="AR52" s="1759"/>
      <c r="AS52" s="1759"/>
      <c r="AT52" s="1756"/>
      <c r="AU52" s="2558"/>
      <c r="AW52" s="861"/>
      <c r="AX52" s="861"/>
      <c r="AY52" s="861"/>
      <c r="AZ52" s="861"/>
    </row>
    <row customHeight="1" ht="11.25">
      <c r="A53" s="1729" t="s">
        <v>204</v>
      </c>
      <c r="B53" s="1729"/>
      <c r="C53" s="1729"/>
      <c r="D53" s="1729"/>
      <c r="E53" s="2528"/>
      <c r="F53" s="2528"/>
      <c r="G53" s="2528"/>
      <c r="H53" s="2528"/>
      <c r="I53" s="2530"/>
      <c r="J53" s="2530"/>
      <c r="K53" s="2529"/>
      <c r="L53" s="1730"/>
      <c r="P53" s="2531"/>
      <c r="Q53" s="2531"/>
      <c r="R53" s="718"/>
      <c r="S53" s="2605"/>
      <c r="T53" s="2602"/>
      <c r="U53" s="661"/>
      <c r="V53" s="1759"/>
      <c r="W53" s="1862"/>
      <c r="X53" s="1759"/>
      <c r="Y53" s="1759"/>
      <c r="Z53" s="1759"/>
      <c r="AA53" s="1759"/>
      <c r="AB53" s="2402"/>
      <c r="AC53" s="2600"/>
      <c r="AD53" s="2478"/>
      <c r="AE53" s="2592"/>
      <c r="AF53" s="2402"/>
      <c r="AG53" s="655"/>
      <c r="AH53" s="776"/>
      <c r="AI53" s="776" t="s">
        <v>504</v>
      </c>
      <c r="AJ53" s="1759"/>
      <c r="AK53" s="1759"/>
      <c r="AL53" s="1759"/>
      <c r="AM53" s="1759"/>
      <c r="AN53" s="1759"/>
      <c r="AO53" s="1862"/>
      <c r="AP53" s="1759"/>
      <c r="AQ53" s="1759"/>
      <c r="AR53" s="1759"/>
      <c r="AS53" s="1759"/>
      <c r="AT53" s="1756"/>
      <c r="AU53" s="2558"/>
      <c r="AW53" s="861"/>
      <c r="AX53" s="861"/>
      <c r="AY53" s="861"/>
      <c r="AZ53" s="861"/>
    </row>
    <row customHeight="1" ht="11.25">
      <c r="A54" s="1729" t="s">
        <v>204</v>
      </c>
      <c r="B54" s="1729" t="s">
        <v>205</v>
      </c>
      <c r="C54" s="1729" t="s">
        <v>206</v>
      </c>
      <c r="D54" s="1729" t="s">
        <v>207</v>
      </c>
      <c r="E54" s="2528"/>
      <c r="F54" s="2528"/>
      <c r="G54" s="2528"/>
      <c r="H54" s="2528"/>
      <c r="I54" s="2530"/>
      <c r="J54" s="2530"/>
      <c r="K54" s="2529"/>
      <c r="L54" s="1730"/>
      <c r="P54" s="2531"/>
      <c r="Q54" s="2531"/>
      <c r="R54" s="718"/>
      <c r="S54" s="2606"/>
      <c r="T54" s="2603"/>
      <c r="U54" s="661"/>
      <c r="V54" s="1759"/>
      <c r="W54" s="1760" t="str">
        <f>X51&amp;"-"&amp;Z51</f>
        <v>-</v>
      </c>
      <c r="X54" s="1759"/>
      <c r="Y54" s="1759"/>
      <c r="Z54" s="1759"/>
      <c r="AA54" s="1759"/>
      <c r="AB54" s="2402"/>
      <c r="AC54" s="673"/>
      <c r="AD54" s="675"/>
      <c r="AE54" s="776" t="s">
        <v>505</v>
      </c>
      <c r="AF54" s="1759"/>
      <c r="AG54" s="1759"/>
      <c r="AH54" s="1759"/>
      <c r="AI54" s="1759"/>
      <c r="AJ54" s="1759"/>
      <c r="AK54" s="1759"/>
      <c r="AL54" s="1759"/>
      <c r="AM54" s="1759"/>
      <c r="AN54" s="1759"/>
      <c r="AO54" s="1760" t="str">
        <f>AP51&amp;"-"&amp;AR51</f>
        <v>-</v>
      </c>
      <c r="AP54" s="1759"/>
      <c r="AQ54" s="1759"/>
      <c r="AR54" s="1759"/>
      <c r="AS54" s="1759"/>
      <c r="AT54" s="1715"/>
      <c r="AU54" s="2558"/>
      <c r="AW54" s="861"/>
      <c r="AX54" s="861" t="str">
        <f>IF(T54="","",T54)</f>
        <v/>
      </c>
      <c r="AY54" s="861"/>
      <c r="AZ54" s="861"/>
    </row>
    <row customHeight="1" ht="11.25">
      <c r="A55" s="1729" t="s">
        <v>204</v>
      </c>
      <c r="B55" s="1729" t="s">
        <v>205</v>
      </c>
      <c r="C55" s="1729" t="s">
        <v>206</v>
      </c>
      <c r="D55" s="1729" t="s">
        <v>207</v>
      </c>
      <c r="E55" s="2528"/>
      <c r="F55" s="2528"/>
      <c r="G55" s="2528"/>
      <c r="H55" s="2528"/>
      <c r="I55" s="2530"/>
      <c r="J55" s="2529"/>
      <c r="K55" s="1729"/>
      <c r="L55" s="1730"/>
      <c r="P55" s="2531"/>
      <c r="Q55" s="2531"/>
      <c r="R55" s="717"/>
      <c r="S55" s="1644"/>
      <c r="T55" s="648" t="s">
        <v>506</v>
      </c>
      <c r="U55" s="728"/>
      <c r="V55" s="728"/>
      <c r="W55" s="728"/>
      <c r="X55" s="728"/>
      <c r="Y55" s="728"/>
      <c r="Z55" s="728"/>
      <c r="AA55" s="685"/>
      <c r="AB55" s="1871"/>
      <c r="AC55" s="728"/>
      <c r="AD55" s="728"/>
      <c r="AE55" s="728"/>
      <c r="AF55" s="728"/>
      <c r="AG55" s="728"/>
      <c r="AH55" s="728"/>
      <c r="AI55" s="728"/>
      <c r="AJ55" s="728"/>
      <c r="AK55" s="728"/>
      <c r="AL55" s="728"/>
      <c r="AM55" s="728"/>
      <c r="AN55" s="728"/>
      <c r="AO55" s="728"/>
      <c r="AP55" s="728"/>
      <c r="AQ55" s="728"/>
      <c r="AR55" s="728"/>
      <c r="AS55" s="728"/>
      <c r="AT55" s="685"/>
      <c r="AU55" s="2559"/>
      <c r="AW55" s="861"/>
      <c r="AX55" s="861" t="str">
        <f>IF(T55="","",T55)</f>
        <v>Добавить строку</v>
      </c>
      <c r="AY55" s="861"/>
      <c r="AZ55" s="861"/>
    </row>
    <row s="32289" customFormat="1" customHeight="1" ht="5.25">
      <c r="A56" s="1709" t="s">
        <v>204</v>
      </c>
      <c r="B56" s="1709" t="s">
        <v>205</v>
      </c>
      <c r="C56" s="1709" t="s">
        <v>206</v>
      </c>
      <c r="D56" s="1709" t="s">
        <v>207</v>
      </c>
      <c r="E56" s="2528"/>
      <c r="F56" s="2528"/>
      <c r="G56" s="2528"/>
      <c r="H56" s="2528"/>
      <c r="I56" s="2529"/>
      <c r="J56" s="1709"/>
      <c r="K56" s="1709"/>
      <c r="L56" s="1712"/>
      <c r="M56" s="871"/>
      <c r="N56" s="871"/>
      <c r="O56" s="871"/>
      <c r="P56" s="2531"/>
      <c r="Q56" s="1697"/>
      <c r="R56" s="717"/>
      <c r="S56" s="1752"/>
      <c r="T56" s="1753" t="s">
        <v>453</v>
      </c>
      <c r="U56" s="1754"/>
      <c r="V56" s="1754"/>
      <c r="W56" s="1754"/>
      <c r="X56" s="1754"/>
      <c r="Y56" s="1754"/>
      <c r="Z56" s="1754"/>
      <c r="AA56" s="1754"/>
      <c r="AB56" s="1754"/>
      <c r="AC56" s="1754"/>
      <c r="AD56" s="1754"/>
      <c r="AE56" s="1754"/>
      <c r="AF56" s="1754"/>
      <c r="AG56" s="1754"/>
      <c r="AH56" s="1754"/>
      <c r="AI56" s="1754"/>
      <c r="AJ56" s="1754"/>
      <c r="AK56" s="1754"/>
      <c r="AL56" s="1754"/>
      <c r="AM56" s="1754"/>
      <c r="AN56" s="1754"/>
      <c r="AO56" s="1754"/>
      <c r="AP56" s="1754"/>
      <c r="AQ56" s="1754"/>
      <c r="AR56" s="1754"/>
      <c r="AS56" s="1754"/>
      <c r="AT56" s="1754"/>
      <c r="AU56" s="1755"/>
      <c r="AW56" s="861"/>
      <c r="AX56" s="861" t="str">
        <f>IF(T56="","",T56)</f>
        <v>Добавить группу потребителей</v>
      </c>
      <c r="AY56" s="861"/>
      <c r="AZ56" s="861"/>
    </row>
    <row s="32049" customFormat="1" customHeight="1" ht="5.25">
      <c r="A57" s="1709" t="s">
        <v>204</v>
      </c>
      <c r="B57" s="1709" t="s">
        <v>205</v>
      </c>
      <c r="C57" s="1709" t="s">
        <v>206</v>
      </c>
      <c r="D57" s="1709" t="s">
        <v>207</v>
      </c>
      <c r="E57" s="2528"/>
      <c r="F57" s="2528"/>
      <c r="G57" s="2528"/>
      <c r="H57" s="2527"/>
      <c r="I57" s="1709"/>
      <c r="J57" s="1709"/>
      <c r="K57" s="1709"/>
      <c r="L57" s="1712"/>
      <c r="M57" s="1681"/>
      <c r="N57" s="1681"/>
      <c r="O57" s="879"/>
      <c r="P57" s="741"/>
      <c r="Q57" s="1710"/>
      <c r="R57" s="1766"/>
      <c r="S57" s="1752"/>
      <c r="T57" s="1753"/>
      <c r="U57" s="1754"/>
      <c r="V57" s="1754"/>
      <c r="W57" s="1754"/>
      <c r="X57" s="1754"/>
      <c r="Y57" s="1754"/>
      <c r="Z57" s="1754"/>
      <c r="AA57" s="1754"/>
      <c r="AB57" s="1754"/>
      <c r="AC57" s="1754"/>
      <c r="AD57" s="1754"/>
      <c r="AE57" s="1754"/>
      <c r="AF57" s="1754"/>
      <c r="AG57" s="1754"/>
      <c r="AH57" s="1754"/>
      <c r="AI57" s="1754"/>
      <c r="AJ57" s="1754"/>
      <c r="AK57" s="1754"/>
      <c r="AL57" s="1754"/>
      <c r="AM57" s="1754"/>
      <c r="AN57" s="1754"/>
      <c r="AO57" s="1754"/>
      <c r="AP57" s="1754"/>
      <c r="AQ57" s="1754"/>
      <c r="AR57" s="1754"/>
      <c r="AS57" s="1754"/>
      <c r="AT57" s="1754"/>
      <c r="AU57" s="1755"/>
      <c r="AV57" s="872"/>
      <c r="AW57" s="861"/>
      <c r="AX57" s="861" t="str">
        <f>IF(T57="","",T57)</f>
        <v/>
      </c>
      <c r="AY57" s="861"/>
      <c r="AZ57" s="861"/>
    </row>
    <row s="32198" customFormat="1" customHeight="1" ht="5.25">
      <c r="A58" s="1709" t="s">
        <v>204</v>
      </c>
      <c r="B58" s="1709" t="s">
        <v>205</v>
      </c>
      <c r="C58" s="1709" t="s">
        <v>206</v>
      </c>
      <c r="D58" s="1680"/>
      <c r="E58" s="2528"/>
      <c r="F58" s="2528"/>
      <c r="G58" s="2527"/>
      <c r="H58" s="1680"/>
      <c r="I58" s="1680"/>
      <c r="J58" s="1680"/>
      <c r="K58" s="1680"/>
      <c r="L58" s="1705"/>
      <c r="M58" s="1681"/>
      <c r="N58" s="1681"/>
      <c r="P58" s="1682"/>
      <c r="Q58" s="1683"/>
      <c r="R58" s="1682"/>
      <c r="S58" s="1688"/>
      <c r="T58" s="1691" t="s">
        <v>455</v>
      </c>
      <c r="U58" s="1690"/>
      <c r="V58" s="1690"/>
      <c r="W58" s="1690"/>
      <c r="X58" s="1690"/>
      <c r="Y58" s="1690"/>
      <c r="Z58" s="1690"/>
      <c r="AA58" s="1690"/>
      <c r="AB58" s="1690"/>
      <c r="AC58" s="1690"/>
      <c r="AD58" s="1690"/>
      <c r="AE58" s="1690"/>
      <c r="AF58" s="1690"/>
      <c r="AG58" s="1690"/>
      <c r="AH58" s="1690"/>
      <c r="AI58" s="1690"/>
      <c r="AJ58" s="1690"/>
      <c r="AK58" s="1690"/>
      <c r="AL58" s="1690"/>
      <c r="AM58" s="1690"/>
      <c r="AN58" s="1690"/>
      <c r="AO58" s="1690"/>
      <c r="AP58" s="1690"/>
      <c r="AQ58" s="1690"/>
      <c r="AR58" s="1690"/>
      <c r="AS58" s="1690"/>
      <c r="AT58" s="1690"/>
      <c r="AU58" s="1690"/>
      <c r="AW58" s="1150"/>
      <c r="AX58" s="1150" t="str">
        <f>IF(T58="","",T58)</f>
        <v>Добавить источник для дифференциации</v>
      </c>
      <c r="AY58" s="1150"/>
      <c r="AZ58" s="1150"/>
    </row>
    <row s="32198" customFormat="1" customHeight="1" ht="5.25">
      <c r="A59" s="1709" t="s">
        <v>204</v>
      </c>
      <c r="B59" s="1709" t="s">
        <v>205</v>
      </c>
      <c r="C59" s="1680"/>
      <c r="D59" s="1680"/>
      <c r="E59" s="2528"/>
      <c r="F59" s="2527"/>
      <c r="G59" s="1680"/>
      <c r="H59" s="1680"/>
      <c r="I59" s="1680"/>
      <c r="J59" s="1680"/>
      <c r="K59" s="1680"/>
      <c r="L59" s="1705"/>
      <c r="M59" s="1687"/>
      <c r="N59" s="1687"/>
      <c r="P59" s="1682"/>
      <c r="Q59" s="1683"/>
      <c r="R59" s="1682"/>
      <c r="S59" s="1688"/>
      <c r="T59" s="1691" t="s">
        <v>262</v>
      </c>
      <c r="U59" s="1690"/>
      <c r="V59" s="1690"/>
      <c r="W59" s="1690"/>
      <c r="X59" s="1690"/>
      <c r="Y59" s="1690"/>
      <c r="Z59" s="1690"/>
      <c r="AA59" s="1690"/>
      <c r="AB59" s="1690"/>
      <c r="AC59" s="1690"/>
      <c r="AD59" s="1690"/>
      <c r="AE59" s="1690"/>
      <c r="AF59" s="1690"/>
      <c r="AG59" s="1690"/>
      <c r="AH59" s="1690"/>
      <c r="AI59" s="1690"/>
      <c r="AJ59" s="1690"/>
      <c r="AK59" s="1690"/>
      <c r="AL59" s="1690"/>
      <c r="AM59" s="1690"/>
      <c r="AN59" s="1690"/>
      <c r="AO59" s="1690"/>
      <c r="AP59" s="1690"/>
      <c r="AQ59" s="1690"/>
      <c r="AR59" s="1690"/>
      <c r="AS59" s="1690"/>
      <c r="AT59" s="1690"/>
      <c r="AU59" s="1690"/>
      <c r="AW59" s="1150"/>
      <c r="AX59" s="1150" t="str">
        <f>IF(T59="","",T59)</f>
        <v>Добавить централизованную систему для дифференциации</v>
      </c>
      <c r="AY59" s="1150"/>
      <c r="AZ59" s="1150"/>
    </row>
    <row s="32289" customFormat="1" customHeight="1" ht="5.25">
      <c r="A60" s="1709" t="s">
        <v>204</v>
      </c>
      <c r="B60" s="1709"/>
      <c r="C60" s="1709"/>
      <c r="D60" s="1709"/>
      <c r="E60" s="2528"/>
      <c r="F60" s="1709"/>
      <c r="G60" s="1709"/>
      <c r="H60" s="1709"/>
      <c r="I60" s="1709"/>
      <c r="J60" s="1709"/>
      <c r="K60" s="1709"/>
      <c r="L60" s="1712"/>
      <c r="M60" s="1687"/>
      <c r="N60" s="1687"/>
      <c r="O60" s="879"/>
      <c r="P60" s="741"/>
      <c r="Q60" s="1710"/>
      <c r="R60" s="741"/>
      <c r="S60" s="1688"/>
      <c r="T60" s="1691" t="s">
        <v>270</v>
      </c>
      <c r="U60" s="1690"/>
      <c r="V60" s="1690"/>
      <c r="W60" s="1690"/>
      <c r="X60" s="1690"/>
      <c r="Y60" s="1690"/>
      <c r="Z60" s="1690"/>
      <c r="AA60" s="1690"/>
      <c r="AB60" s="1690"/>
      <c r="AC60" s="1690"/>
      <c r="AD60" s="1690"/>
      <c r="AE60" s="1690"/>
      <c r="AF60" s="1690"/>
      <c r="AG60" s="1690"/>
      <c r="AH60" s="1690"/>
      <c r="AI60" s="1690"/>
      <c r="AJ60" s="1690"/>
      <c r="AK60" s="1690"/>
      <c r="AL60" s="1690"/>
      <c r="AM60" s="1690"/>
      <c r="AN60" s="1690"/>
      <c r="AO60" s="1690"/>
      <c r="AP60" s="1690"/>
      <c r="AQ60" s="1690"/>
      <c r="AR60" s="1690"/>
      <c r="AS60" s="1690"/>
      <c r="AT60" s="1690"/>
      <c r="AU60" s="1690"/>
      <c r="AW60" s="861"/>
      <c r="AX60" s="861" t="str">
        <f>IF(T60="","",T60)</f>
        <v>Добавить территорию для дифференциации</v>
      </c>
      <c r="AY60" s="861"/>
      <c r="AZ60" s="861"/>
    </row>
    <row s="32289" customFormat="1" customHeight="1" ht="5.25">
      <c r="A61" s="1709" t="s">
        <v>204</v>
      </c>
      <c r="B61" s="1709"/>
      <c r="C61" s="1709"/>
      <c r="D61" s="1709"/>
      <c r="E61" s="2527"/>
      <c r="F61" s="1709"/>
      <c r="G61" s="1709"/>
      <c r="H61" s="1709"/>
      <c r="I61" s="1709"/>
      <c r="J61" s="1709"/>
      <c r="K61" s="1709"/>
      <c r="L61" s="1712"/>
      <c r="M61" s="1687"/>
      <c r="N61" s="1687"/>
      <c r="O61" s="879"/>
      <c r="P61" s="741"/>
      <c r="Q61" s="1710"/>
      <c r="R61" s="741"/>
      <c r="S61" s="1688"/>
      <c r="T61" s="1691" t="s">
        <v>270</v>
      </c>
      <c r="U61" s="1690"/>
      <c r="V61" s="1690"/>
      <c r="W61" s="1690"/>
      <c r="X61" s="1690"/>
      <c r="Y61" s="1690"/>
      <c r="Z61" s="1690"/>
      <c r="AA61" s="1690"/>
      <c r="AB61" s="1690"/>
      <c r="AC61" s="1690"/>
      <c r="AD61" s="1690"/>
      <c r="AE61" s="1690"/>
      <c r="AF61" s="1690"/>
      <c r="AG61" s="1690"/>
      <c r="AH61" s="1690"/>
      <c r="AI61" s="1690"/>
      <c r="AJ61" s="1690"/>
      <c r="AK61" s="1690"/>
      <c r="AL61" s="1690"/>
      <c r="AM61" s="1690"/>
      <c r="AN61" s="1690"/>
      <c r="AO61" s="1690"/>
      <c r="AP61" s="1690"/>
      <c r="AQ61" s="1690"/>
      <c r="AR61" s="1690"/>
      <c r="AS61" s="1690"/>
      <c r="AT61" s="1690"/>
      <c r="AU61" s="1690"/>
      <c r="AW61" s="861"/>
      <c r="AX61" s="861" t="str">
        <f>IF(T61="","",T61)</f>
        <v>Добавить территорию для дифференциации</v>
      </c>
      <c r="AY61" s="861"/>
      <c r="AZ61" s="861"/>
    </row>
    <row s="32198" customFormat="1" customHeight="1" ht="5.25">
      <c r="A62" s="1680"/>
      <c r="B62" s="1680"/>
      <c r="C62" s="1680"/>
      <c r="D62" s="1680"/>
      <c r="E62" s="1709"/>
      <c r="F62" s="1680"/>
      <c r="G62" s="1680"/>
      <c r="H62" s="1680"/>
      <c r="I62" s="1680"/>
      <c r="J62" s="1680"/>
      <c r="K62" s="1680"/>
      <c r="L62" s="1705"/>
      <c r="M62" s="1687"/>
      <c r="N62" s="1687"/>
      <c r="P62" s="1682"/>
      <c r="Q62" s="1683"/>
      <c r="R62" s="1682"/>
      <c r="S62" s="1688"/>
      <c r="T62" s="1691" t="s">
        <v>294</v>
      </c>
      <c r="U62" s="1690"/>
      <c r="V62" s="1690"/>
      <c r="W62" s="1690"/>
      <c r="X62" s="1690"/>
      <c r="Y62" s="1690"/>
      <c r="Z62" s="1690"/>
      <c r="AA62" s="1690"/>
      <c r="AB62" s="1690"/>
      <c r="AC62" s="1690"/>
      <c r="AD62" s="1690"/>
      <c r="AE62" s="1690"/>
      <c r="AF62" s="1690"/>
      <c r="AG62" s="1690"/>
      <c r="AH62" s="1690"/>
      <c r="AI62" s="1690"/>
      <c r="AJ62" s="1690"/>
      <c r="AK62" s="1690"/>
      <c r="AL62" s="1690"/>
      <c r="AM62" s="1690"/>
      <c r="AN62" s="1690"/>
      <c r="AO62" s="1690"/>
      <c r="AP62" s="1690"/>
      <c r="AQ62" s="1690"/>
      <c r="AR62" s="1690"/>
      <c r="AS62" s="1690"/>
      <c r="AT62" s="1690"/>
      <c r="AU62" s="1690"/>
      <c r="AW62" s="1150"/>
      <c r="AX62" s="1150" t="str">
        <f>IF(T62="","",T62)</f>
        <v>Добавить наименование тарифа</v>
      </c>
      <c r="AY62" s="1150"/>
      <c r="AZ62" s="1150"/>
    </row>
    <row customHeight="1" ht="11.25">
      <c r="M63" s="1523"/>
      <c r="N63" s="1523"/>
      <c r="O63" s="898"/>
      <c r="P63" s="1523"/>
      <c r="Q63" s="1523"/>
      <c r="R63" s="1518"/>
      <c r="S63" s="1518"/>
      <c r="AV63" s="1518"/>
      <c r="AW63" s="1518"/>
      <c r="AX63" s="1518"/>
      <c r="AY63" s="1518"/>
      <c r="AZ63" s="1518"/>
    </row>
    <row customHeight="1" ht="18.75">
      <c r="O64" s="898"/>
      <c r="S64" s="1618"/>
      <c r="T64" s="2526"/>
      <c r="U64" s="2526"/>
      <c r="V64" s="2526"/>
      <c r="W64" s="2526"/>
      <c r="X64" s="2526"/>
      <c r="Y64" s="2526"/>
      <c r="Z64" s="2526"/>
      <c r="AA64" s="2526"/>
      <c r="AB64" s="2526"/>
      <c r="AC64" s="2526"/>
      <c r="AD64" s="2526"/>
      <c r="AE64" s="2526"/>
      <c r="AF64" s="2526"/>
      <c r="AG64" s="2526"/>
      <c r="AH64" s="2526"/>
      <c r="AI64" s="2526"/>
      <c r="AJ64" s="2526"/>
      <c r="AK64" s="2526"/>
      <c r="AL64" s="2526"/>
      <c r="AM64" s="2526"/>
      <c r="AN64" s="2526"/>
      <c r="AO64" s="2526"/>
      <c r="AP64" s="2526"/>
      <c r="AQ64" s="2526"/>
      <c r="AR64" s="2526"/>
      <c r="AS64" s="2526"/>
      <c r="AT64" s="2526"/>
      <c r="AU64" s="2526"/>
    </row>
    <row customHeight="1" ht="19.5">
      <c r="O65" s="898"/>
      <c r="T65" s="2526"/>
      <c r="U65" s="2526"/>
      <c r="V65" s="2526"/>
      <c r="W65" s="2526"/>
      <c r="X65" s="2526"/>
      <c r="Y65" s="2526"/>
      <c r="Z65" s="2526"/>
      <c r="AA65" s="2526"/>
      <c r="AB65" s="2526"/>
      <c r="AC65" s="2526"/>
      <c r="AD65" s="2526"/>
      <c r="AE65" s="2526"/>
      <c r="AF65" s="2526"/>
      <c r="AG65" s="2526"/>
      <c r="AH65" s="2526"/>
      <c r="AI65" s="2526"/>
      <c r="AJ65" s="2526"/>
      <c r="AK65" s="2526"/>
      <c r="AL65" s="2526"/>
      <c r="AM65" s="2526"/>
      <c r="AN65" s="2526"/>
      <c r="AO65" s="2526"/>
      <c r="AP65" s="2526"/>
      <c r="AQ65" s="2526"/>
      <c r="AR65" s="2526"/>
      <c r="AS65" s="2526"/>
      <c r="AT65" s="2526"/>
      <c r="AU65" s="2526"/>
    </row>
    <row customHeight="1" ht="14.25">
      <c r="O66" s="898"/>
      <c r="T66" s="1699"/>
      <c r="U66" s="1699"/>
      <c r="V66" s="1699"/>
      <c r="W66" s="1699"/>
      <c r="X66" s="1699"/>
      <c r="Y66" s="1699"/>
      <c r="Z66" s="1699"/>
      <c r="AA66" s="1699"/>
      <c r="AB66" s="1699"/>
      <c r="AC66" s="1699"/>
      <c r="AD66" s="1699"/>
      <c r="AE66" s="1699"/>
      <c r="AF66" s="1699"/>
      <c r="AG66" s="1699"/>
      <c r="AH66" s="1699"/>
      <c r="AI66" s="1699"/>
      <c r="AJ66" s="1699"/>
      <c r="AK66" s="1699"/>
      <c r="AL66" s="1699"/>
      <c r="AM66" s="1699"/>
      <c r="AN66" s="1699"/>
      <c r="AO66" s="1699"/>
      <c r="AP66" s="1699"/>
      <c r="AQ66" s="1699"/>
      <c r="AR66" s="1699"/>
      <c r="AS66" s="1699"/>
      <c r="AT66" s="1699"/>
      <c r="AU66" s="1699"/>
    </row>
    <row customHeight="1" ht="18.75">
      <c r="O67" s="898"/>
      <c r="T67" s="2526"/>
      <c r="U67" s="2526"/>
      <c r="V67" s="2526"/>
      <c r="W67" s="2526"/>
      <c r="X67" s="2526"/>
      <c r="Y67" s="2526"/>
      <c r="Z67" s="2526"/>
      <c r="AA67" s="2526"/>
      <c r="AB67" s="2526"/>
      <c r="AC67" s="2526"/>
      <c r="AD67" s="2526"/>
      <c r="AE67" s="2526"/>
      <c r="AF67" s="2526"/>
      <c r="AG67" s="2526"/>
      <c r="AH67" s="2526"/>
      <c r="AI67" s="2526"/>
      <c r="AJ67" s="2526"/>
      <c r="AK67" s="2526"/>
      <c r="AL67" s="2526"/>
      <c r="AM67" s="2526"/>
      <c r="AN67" s="2526"/>
      <c r="AO67" s="2526"/>
      <c r="AP67" s="2526"/>
      <c r="AQ67" s="2526"/>
      <c r="AR67" s="2526"/>
      <c r="AS67" s="2526"/>
      <c r="AT67" s="2526"/>
      <c r="AU67" s="2526"/>
    </row>
    <row customHeight="1" ht="15.75">
      <c r="O68" s="898"/>
      <c r="T68" s="2526"/>
      <c r="U68" s="2526"/>
      <c r="V68" s="2526"/>
      <c r="W68" s="2526"/>
      <c r="X68" s="2526"/>
      <c r="Y68" s="2526"/>
      <c r="Z68" s="2526"/>
      <c r="AA68" s="2526"/>
      <c r="AB68" s="2526"/>
      <c r="AC68" s="2526"/>
      <c r="AD68" s="2526"/>
      <c r="AE68" s="2526"/>
      <c r="AF68" s="2526"/>
      <c r="AG68" s="2526"/>
      <c r="AH68" s="2526"/>
      <c r="AI68" s="2526"/>
      <c r="AJ68" s="2526"/>
      <c r="AK68" s="2526"/>
      <c r="AL68" s="2526"/>
      <c r="AM68" s="2526"/>
      <c r="AN68" s="2526"/>
      <c r="AO68" s="2526"/>
      <c r="AP68" s="2526"/>
      <c r="AQ68" s="2526"/>
      <c r="AR68" s="2526"/>
      <c r="AS68" s="2526"/>
      <c r="AT68" s="2526"/>
      <c r="AU68" s="2526"/>
    </row>
    <row customHeight="1" ht="14.25">
      <c r="O69" s="898"/>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24C7D-681D-CEA7-E02B-B68DE3368C0E}"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217" width="10.57421875" hidden="1"/>
    <col min="2" max="2" style="32217" width="11.00390625" hidden="1" customWidth="1"/>
    <col min="3" max="3" style="32217" width="10.57421875" hidden="1"/>
    <col min="4" max="4" style="32217" width="11.8515625" hidden="1" customWidth="1"/>
    <col min="5" max="5" style="32217" width="10.00390625" hidden="1" customWidth="1"/>
    <col min="6" max="6" style="32217" width="8.7109375" hidden="1" customWidth="1"/>
    <col min="7" max="7" style="32217" width="7.57421875" hidden="1" customWidth="1"/>
    <col min="8" max="8" style="32217" width="11.421875" hidden="1" customWidth="1"/>
    <col min="9" max="9" style="32217" width="14.140625" hidden="1" customWidth="1"/>
    <col min="10" max="10" style="32217" width="9.8515625" hidden="1" customWidth="1"/>
    <col min="11" max="11" style="32217" width="14.7109375" hidden="1" customWidth="1"/>
    <col min="12" max="12" style="32498" width="19.140625" hidden="1" customWidth="1"/>
    <col min="13" max="14" style="32298" width="12.28125" hidden="1" customWidth="1"/>
    <col min="15" max="15" style="32298" width="23.421875" hidden="1" customWidth="1"/>
    <col min="16" max="16" style="32499" width="3.7109375" customWidth="1"/>
    <col min="17" max="18" style="32300" width="3.7109375" customWidth="1"/>
    <col min="19" max="19" style="32301" width="12.7109375" customWidth="1"/>
    <col min="20" max="20" style="32302" width="35.7109375" customWidth="1"/>
    <col min="21" max="21" style="32302" width="0.140625" customWidth="1"/>
    <col min="22" max="24" style="32302" width="24.7109375" hidden="1" customWidth="1"/>
    <col min="25" max="25" style="32302" width="11.7109375" hidden="1" customWidth="1"/>
    <col min="26" max="26" style="32302" width="3.7109375" hidden="1" customWidth="1"/>
    <col min="27" max="27" style="32302" width="11.7109375" hidden="1" customWidth="1"/>
    <col min="28" max="28" style="32302" width="8.57421875" hidden="1" customWidth="1"/>
    <col min="29" max="31" style="32302" width="24.7109375" customWidth="1"/>
    <col min="32" max="32" style="32302" width="11.7109375" customWidth="1"/>
    <col min="33" max="33" style="32302" width="3.7109375" customWidth="1"/>
    <col min="34" max="34" style="32302" width="11.7109375" customWidth="1"/>
    <col min="35" max="35" style="32302" width="8.57421875" hidden="1" customWidth="1"/>
    <col min="36" max="36" style="32302" width="4.7109375" customWidth="1"/>
    <col min="37" max="37" style="32302" width="115.7109375" customWidth="1"/>
    <col min="38" max="39" style="32289" width="10.57421875"/>
    <col min="40" max="40" style="32289" width="11.140625" customWidth="1"/>
    <col min="41" max="42" style="32289" width="10.57421875"/>
  </cols>
  <sheetData>
    <row customHeight="1" ht="14.25" hidden="1">
      <c r="X1" s="688"/>
      <c r="Y1" s="688"/>
      <c r="AE1" s="688"/>
      <c r="AF1" s="688"/>
    </row>
    <row customHeight="1" ht="23.25" hidden="1">
      <c r="A2" s="1729"/>
      <c r="B2" s="1729"/>
      <c r="C2" s="1729"/>
      <c r="D2" s="1729"/>
      <c r="E2" s="2527">
        <v>1</v>
      </c>
      <c r="F2" s="1729"/>
      <c r="G2" s="1729"/>
      <c r="H2" s="1729"/>
      <c r="I2" s="1729"/>
      <c r="J2" s="1729"/>
      <c r="K2" s="1729"/>
      <c r="L2" s="1730"/>
      <c r="M2" s="1731"/>
      <c r="N2" s="1731"/>
      <c r="O2" s="1731"/>
      <c r="P2" s="722"/>
      <c r="Q2" s="721"/>
      <c r="R2" s="716"/>
      <c r="S2" s="1791">
        <f>INDEX(PT_DIFFERENTIATION_NUM_NTAR,MATCH(A2,PT_DIFFERENTIATION_NTAR_ID,0))</f>
      </c>
      <c r="T2" s="659" t="s">
        <v>131</v>
      </c>
      <c r="U2" s="661"/>
      <c r="V2" s="2521"/>
      <c r="W2" s="2522"/>
      <c r="X2" s="2522"/>
      <c r="Y2" s="2522"/>
      <c r="Z2" s="2522"/>
      <c r="AA2" s="2522"/>
      <c r="AB2" s="2523"/>
      <c r="AC2" s="2521">
        <f>INDEX(PT_DIFFERENTIATION_NTAR,MATCH(A2,PT_DIFFERENTIATION_NTAR_ID,0))</f>
      </c>
      <c r="AD2" s="2522"/>
      <c r="AE2" s="2522"/>
      <c r="AF2" s="2522"/>
      <c r="AG2" s="2522"/>
      <c r="AH2" s="2522"/>
      <c r="AI2" s="2522"/>
      <c r="AJ2" s="2523"/>
      <c r="AK2"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861"/>
      <c r="AN2" s="861" t="str">
        <f>IF(T2="","",T2)</f>
        <v>Наименование тарифа</v>
      </c>
      <c r="AO2" s="861"/>
      <c r="AP2" s="861"/>
    </row>
    <row customHeight="1" ht="23.25" hidden="1">
      <c r="A3" s="1729"/>
      <c r="B3" s="1729"/>
      <c r="C3" s="1729"/>
      <c r="D3" s="1729"/>
      <c r="E3" s="2528"/>
      <c r="F3" s="2527">
        <v>1</v>
      </c>
      <c r="G3" s="1729"/>
      <c r="H3" s="1729"/>
      <c r="I3" s="1729"/>
      <c r="J3" s="1729"/>
      <c r="K3" s="1729"/>
      <c r="L3" s="1730"/>
      <c r="M3" s="1731"/>
      <c r="N3" s="1731"/>
      <c r="O3" s="1731"/>
      <c r="P3" s="1789"/>
      <c r="Q3" s="713"/>
      <c r="R3" s="714"/>
      <c r="S3" s="1791">
        <f>INDEX(PT_DIFFERENTIATION_NUM_TER,MATCH(B3,PT_DIFFERENTIATION_TER_ID,0))</f>
      </c>
      <c r="T3" s="669" t="s">
        <v>438</v>
      </c>
      <c r="U3" s="661"/>
      <c r="V3" s="2521"/>
      <c r="W3" s="2522"/>
      <c r="X3" s="2522"/>
      <c r="Y3" s="2522"/>
      <c r="Z3" s="2522"/>
      <c r="AA3" s="2522"/>
      <c r="AB3" s="2523"/>
      <c r="AC3" s="2521">
        <f>INDEX(PT_DIFFERENTIATION_TER,MATCH(B3,PT_DIFFERENTIATION_TER_ID,0))</f>
      </c>
      <c r="AD3" s="2522"/>
      <c r="AE3" s="2522"/>
      <c r="AF3" s="2522"/>
      <c r="AG3" s="2522"/>
      <c r="AH3" s="2522"/>
      <c r="AI3" s="2522"/>
      <c r="AJ3" s="2523"/>
      <c r="AK3" s="1623" t="s">
        <v>439</v>
      </c>
      <c r="AM3" s="861"/>
      <c r="AN3" s="861" t="str">
        <f>IF(T3="","",T3)</f>
        <v>Территория действия тарифа</v>
      </c>
      <c r="AO3" s="861"/>
      <c r="AP3" s="861"/>
    </row>
    <row customHeight="1" ht="23.25" hidden="1">
      <c r="A4" s="1729"/>
      <c r="B4" s="1729"/>
      <c r="C4" s="1729"/>
      <c r="D4" s="1729"/>
      <c r="E4" s="2528"/>
      <c r="F4" s="2528"/>
      <c r="G4" s="2527">
        <v>1</v>
      </c>
      <c r="H4" s="1729"/>
      <c r="I4" s="1729"/>
      <c r="J4" s="1729"/>
      <c r="K4" s="1729"/>
      <c r="L4" s="1730"/>
      <c r="M4" s="1731"/>
      <c r="N4" s="1731"/>
      <c r="O4" s="1731"/>
      <c r="P4" s="715"/>
      <c r="Q4" s="713"/>
      <c r="R4" s="714"/>
      <c r="S4" s="1791">
        <f>INDEX(PT_DIFFERENTIATION_NUM_CS,MATCH(C4,PT_DIFFERENTIATION_CS_ID,0))</f>
      </c>
      <c r="T4" s="670" t="s">
        <v>520</v>
      </c>
      <c r="U4" s="661"/>
      <c r="V4" s="2521"/>
      <c r="W4" s="2522"/>
      <c r="X4" s="2522"/>
      <c r="Y4" s="2522"/>
      <c r="Z4" s="2522"/>
      <c r="AA4" s="2522"/>
      <c r="AB4" s="2523"/>
      <c r="AC4" s="2521">
        <f>INDEX(PT_DIFFERENTIATION_CS,MATCH(C4,PT_DIFFERENTIATION_CS_ID,0))</f>
      </c>
      <c r="AD4" s="2522"/>
      <c r="AE4" s="2522"/>
      <c r="AF4" s="2522"/>
      <c r="AG4" s="2522"/>
      <c r="AH4" s="2522"/>
      <c r="AI4" s="2522"/>
      <c r="AJ4" s="2523"/>
      <c r="AK4" s="1623" t="s">
        <v>521</v>
      </c>
      <c r="AM4" s="861"/>
      <c r="AN4" s="861" t="str">
        <f>IF(T4="","",T4)</f>
        <v>Наименование централизованной системы холодного водоснабжения</v>
      </c>
      <c r="AO4" s="861"/>
      <c r="AP4" s="861"/>
    </row>
    <row customHeight="1" ht="23.25" hidden="1">
      <c r="A5" s="1729"/>
      <c r="B5" s="1729"/>
      <c r="C5" s="1729"/>
      <c r="D5" s="1729"/>
      <c r="E5" s="2528"/>
      <c r="F5" s="2528"/>
      <c r="G5" s="2528"/>
      <c r="H5" s="2528"/>
      <c r="I5" s="2529">
        <f>S4&amp;".1"</f>
      </c>
      <c r="J5" s="1729"/>
      <c r="K5" s="1729"/>
      <c r="L5" s="1730"/>
      <c r="P5" s="2531">
        <v>1</v>
      </c>
      <c r="Q5" s="1788"/>
      <c r="R5" s="717"/>
      <c r="S5" s="1791">
        <f>$I5</f>
      </c>
      <c r="T5" s="646" t="s">
        <v>522</v>
      </c>
      <c r="U5" s="661"/>
      <c r="V5" s="2614"/>
      <c r="W5" s="2615"/>
      <c r="X5" s="2615"/>
      <c r="Y5" s="2615"/>
      <c r="Z5" s="2615"/>
      <c r="AA5" s="2615"/>
      <c r="AB5" s="2616"/>
      <c r="AC5" s="2617"/>
      <c r="AD5" s="2618"/>
      <c r="AE5" s="2618"/>
      <c r="AF5" s="2618"/>
      <c r="AG5" s="2618"/>
      <c r="AH5" s="2618"/>
      <c r="AI5" s="2618"/>
      <c r="AJ5" s="2619"/>
      <c r="AK5" s="1623" t="s">
        <v>523</v>
      </c>
      <c r="AM5" s="861"/>
      <c r="AN5" s="861" t="str">
        <f>IF(T5="","",T5)</f>
        <v>Наименование признака дифференциации</v>
      </c>
      <c r="AO5" s="861"/>
      <c r="AP5" s="861"/>
    </row>
    <row customHeight="1" ht="23.25" hidden="1">
      <c r="A6" s="1729"/>
      <c r="B6" s="1729"/>
      <c r="C6" s="1729"/>
      <c r="D6" s="1729"/>
      <c r="E6" s="2528"/>
      <c r="F6" s="2528"/>
      <c r="G6" s="2528"/>
      <c r="H6" s="2528"/>
      <c r="I6" s="2530"/>
      <c r="J6" s="2529">
        <f>I5&amp;".1"</f>
      </c>
      <c r="K6" s="1729"/>
      <c r="L6" s="1730" t="s">
        <v>447</v>
      </c>
      <c r="P6" s="2531"/>
      <c r="Q6" s="2531">
        <v>1</v>
      </c>
      <c r="R6" s="718"/>
      <c r="S6" s="1791">
        <f>$J6</f>
      </c>
      <c r="T6" s="647" t="s">
        <v>448</v>
      </c>
      <c r="U6" s="661"/>
      <c r="V6" s="2515"/>
      <c r="W6" s="2516"/>
      <c r="X6" s="2516"/>
      <c r="Y6" s="2516"/>
      <c r="Z6" s="2516"/>
      <c r="AA6" s="2516"/>
      <c r="AB6" s="2517"/>
      <c r="AC6" s="2515"/>
      <c r="AD6" s="2516"/>
      <c r="AE6" s="2516"/>
      <c r="AF6" s="2516"/>
      <c r="AG6" s="2516"/>
      <c r="AH6" s="2516"/>
      <c r="AI6" s="2516"/>
      <c r="AJ6" s="2517"/>
      <c r="AK6" s="1673" t="s">
        <v>524</v>
      </c>
      <c r="AM6" s="861"/>
      <c r="AN6" s="861" t="str">
        <f>IF(T6="","",T6)</f>
        <v>Группа потребителей</v>
      </c>
      <c r="AO6" s="861"/>
      <c r="AP6" s="861"/>
    </row>
    <row customHeight="1" ht="23.25" hidden="1">
      <c r="A7" s="1729"/>
      <c r="B7" s="1729"/>
      <c r="C7" s="1729"/>
      <c r="D7" s="1729"/>
      <c r="E7" s="2528"/>
      <c r="F7" s="2528"/>
      <c r="G7" s="2528"/>
      <c r="H7" s="2528"/>
      <c r="I7" s="2530"/>
      <c r="J7" s="2530"/>
      <c r="K7" s="2529">
        <f>J6&amp;".1"</f>
      </c>
      <c r="L7" s="1730"/>
      <c r="P7" s="2531"/>
      <c r="Q7" s="2531"/>
      <c r="R7" s="718">
        <v>1</v>
      </c>
      <c r="S7" s="1791">
        <f>$K7</f>
      </c>
      <c r="T7" s="1803"/>
      <c r="U7" s="661"/>
      <c r="V7" s="1112"/>
      <c r="W7" s="1112"/>
      <c r="X7" s="1622"/>
      <c r="Y7" s="2532"/>
      <c r="Z7" s="2402" t="s">
        <v>66</v>
      </c>
      <c r="AA7" s="2532"/>
      <c r="AB7" s="2402" t="s">
        <v>66</v>
      </c>
      <c r="AC7" s="1112"/>
      <c r="AD7" s="1112"/>
      <c r="AE7" s="1622"/>
      <c r="AF7" s="2532"/>
      <c r="AG7" s="2402" t="s">
        <v>66</v>
      </c>
      <c r="AH7" s="2534"/>
      <c r="AI7" s="2402" t="s">
        <v>66</v>
      </c>
      <c r="AJ7" s="1804"/>
      <c r="AK7" s="26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72">
        <f>STRCHECKDATE(V8:AJ8)</f>
      </c>
      <c r="AM7" s="861"/>
      <c r="AN7" s="861" t="str">
        <f>IF(T7="","",T7)</f>
        <v/>
      </c>
      <c r="AO7" s="861"/>
      <c r="AP7" s="861"/>
    </row>
    <row customHeight="1" ht="14.25" hidden="1">
      <c r="A8" s="1729"/>
      <c r="B8" s="1729"/>
      <c r="C8" s="1729"/>
      <c r="D8" s="1729"/>
      <c r="E8" s="2528"/>
      <c r="F8" s="2528"/>
      <c r="G8" s="2528"/>
      <c r="H8" s="2528"/>
      <c r="I8" s="2530"/>
      <c r="J8" s="2530"/>
      <c r="K8" s="2529"/>
      <c r="L8" s="1730"/>
      <c r="P8" s="2531"/>
      <c r="Q8" s="2531"/>
      <c r="R8" s="718"/>
      <c r="S8" s="1790"/>
      <c r="T8" s="661"/>
      <c r="U8" s="661"/>
      <c r="V8" s="686"/>
      <c r="W8" s="686"/>
      <c r="X8" s="689" t="str">
        <f>Y7&amp;"-"&amp;AA7</f>
        <v>-</v>
      </c>
      <c r="Y8" s="2533"/>
      <c r="Z8" s="2402"/>
      <c r="AA8" s="2533"/>
      <c r="AB8" s="2402"/>
      <c r="AC8" s="686"/>
      <c r="AD8" s="686"/>
      <c r="AE8" s="689" t="str">
        <f>AF7&amp;"-"&amp;AH7</f>
        <v>-</v>
      </c>
      <c r="AF8" s="2533"/>
      <c r="AG8" s="2402"/>
      <c r="AH8" s="2535"/>
      <c r="AI8" s="2402"/>
      <c r="AJ8" s="1805"/>
      <c r="AK8" s="2620"/>
      <c r="AM8" s="861"/>
      <c r="AN8" s="861" t="str">
        <f>IF(T8="","",T8)</f>
        <v/>
      </c>
      <c r="AO8" s="861"/>
      <c r="AP8" s="861"/>
    </row>
    <row customHeight="1" ht="21" hidden="1">
      <c r="A9" s="1729"/>
      <c r="B9" s="1729"/>
      <c r="C9" s="1729"/>
      <c r="D9" s="1729"/>
      <c r="E9" s="2528"/>
      <c r="F9" s="2528"/>
      <c r="G9" s="2528"/>
      <c r="H9" s="2528"/>
      <c r="I9" s="2530"/>
      <c r="J9" s="2529"/>
      <c r="K9" s="1729"/>
      <c r="L9" s="1730"/>
      <c r="P9" s="2531"/>
      <c r="Q9" s="2531"/>
      <c r="R9" s="717"/>
      <c r="S9" s="1644"/>
      <c r="T9" s="648" t="s">
        <v>525</v>
      </c>
      <c r="U9" s="728"/>
      <c r="V9" s="728"/>
      <c r="W9" s="728"/>
      <c r="X9" s="728"/>
      <c r="Y9" s="728"/>
      <c r="Z9" s="728"/>
      <c r="AA9" s="728"/>
      <c r="AB9" s="728"/>
      <c r="AC9" s="728"/>
      <c r="AD9" s="728"/>
      <c r="AE9" s="728"/>
      <c r="AF9" s="728"/>
      <c r="AG9" s="728"/>
      <c r="AH9" s="728"/>
      <c r="AI9" s="728"/>
      <c r="AJ9" s="728"/>
      <c r="AK9" s="1623" t="s">
        <v>526</v>
      </c>
      <c r="AM9" s="861"/>
      <c r="AN9" s="861" t="str">
        <f>IF(T9="","",T9)</f>
        <v>Добавить значение признака дифференциации</v>
      </c>
      <c r="AO9" s="861"/>
      <c r="AP9" s="861"/>
    </row>
    <row customHeight="1" ht="21" hidden="1">
      <c r="A10" s="1729"/>
      <c r="B10" s="1729"/>
      <c r="C10" s="1729"/>
      <c r="D10" s="1729"/>
      <c r="E10" s="2528"/>
      <c r="F10" s="2528"/>
      <c r="G10" s="2528"/>
      <c r="H10" s="2528"/>
      <c r="I10" s="2529"/>
      <c r="J10" s="1729"/>
      <c r="K10" s="1729"/>
      <c r="L10" s="1730"/>
      <c r="P10" s="2531"/>
      <c r="Q10" s="1788"/>
      <c r="R10" s="717"/>
      <c r="S10" s="1644"/>
      <c r="T10" s="726" t="s">
        <v>453</v>
      </c>
      <c r="U10" s="728"/>
      <c r="V10" s="728"/>
      <c r="W10" s="728"/>
      <c r="X10" s="728"/>
      <c r="Y10" s="728"/>
      <c r="Z10" s="728"/>
      <c r="AA10" s="728"/>
      <c r="AB10" s="727"/>
      <c r="AC10" s="728"/>
      <c r="AD10" s="728"/>
      <c r="AE10" s="728"/>
      <c r="AF10" s="728"/>
      <c r="AG10" s="728"/>
      <c r="AH10" s="728"/>
      <c r="AI10" s="727"/>
      <c r="AJ10" s="728"/>
      <c r="AK10" s="1806"/>
      <c r="AM10" s="861"/>
      <c r="AN10" s="861" t="str">
        <f>IF(T10="","",T10)</f>
        <v>Добавить группу потребителей</v>
      </c>
      <c r="AO10" s="861"/>
      <c r="AP10" s="861"/>
    </row>
    <row customHeight="1" ht="14.25" hidden="1">
      <c r="A11" s="1729"/>
      <c r="B11" s="1729"/>
      <c r="C11" s="1729"/>
      <c r="D11" s="1729"/>
      <c r="E11" s="2528"/>
      <c r="F11" s="2528"/>
      <c r="G11" s="2528"/>
      <c r="H11" s="2527"/>
      <c r="I11" s="1729"/>
      <c r="J11" s="1729"/>
      <c r="K11" s="1729"/>
      <c r="L11" s="1730"/>
      <c r="M11" s="1731"/>
      <c r="N11" s="1731"/>
      <c r="O11" s="898"/>
      <c r="P11" s="721"/>
      <c r="Q11" s="736"/>
      <c r="R11" s="716"/>
      <c r="S11" s="1644"/>
      <c r="T11" s="733" t="s">
        <v>527</v>
      </c>
      <c r="U11" s="728"/>
      <c r="V11" s="728"/>
      <c r="W11" s="728"/>
      <c r="X11" s="728"/>
      <c r="Y11" s="728"/>
      <c r="Z11" s="728"/>
      <c r="AA11" s="728"/>
      <c r="AB11" s="727"/>
      <c r="AC11" s="728"/>
      <c r="AD11" s="728"/>
      <c r="AE11" s="728"/>
      <c r="AF11" s="728"/>
      <c r="AG11" s="728"/>
      <c r="AH11" s="728"/>
      <c r="AI11" s="727"/>
      <c r="AJ11" s="728"/>
      <c r="AK11" s="664"/>
      <c r="AM11" s="861"/>
      <c r="AN11" s="861" t="str">
        <f>IF(T11="","",T11)</f>
        <v>Добавить наименование признака дифференциации</v>
      </c>
      <c r="AO11" s="861"/>
      <c r="AP11" s="861"/>
    </row>
    <row s="32198" customFormat="1" customHeight="1" ht="14.25" hidden="1">
      <c r="A12" s="1709"/>
      <c r="B12" s="1709"/>
      <c r="C12" s="1680"/>
      <c r="D12" s="1680"/>
      <c r="E12" s="2528"/>
      <c r="F12" s="2527"/>
      <c r="G12" s="1680"/>
      <c r="H12" s="1680"/>
      <c r="I12" s="1680"/>
      <c r="J12" s="1680"/>
      <c r="K12" s="1680"/>
      <c r="L12" s="1792"/>
      <c r="M12" s="1687"/>
      <c r="N12" s="1687"/>
      <c r="P12" s="1682"/>
      <c r="Q12" s="1683"/>
      <c r="R12" s="1682"/>
      <c r="S12" s="1688"/>
      <c r="T12" s="1691" t="s">
        <v>262</v>
      </c>
      <c r="U12" s="1690"/>
      <c r="V12" s="1690"/>
      <c r="W12" s="1690"/>
      <c r="X12" s="1690"/>
      <c r="Y12" s="1690"/>
      <c r="Z12" s="1690"/>
      <c r="AA12" s="1690"/>
      <c r="AB12" s="1690"/>
      <c r="AC12" s="1690"/>
      <c r="AD12" s="1690"/>
      <c r="AE12" s="1690"/>
      <c r="AF12" s="1690"/>
      <c r="AG12" s="1690"/>
      <c r="AH12" s="1690"/>
      <c r="AI12" s="1690"/>
      <c r="AJ12" s="1690"/>
      <c r="AK12" s="1690"/>
      <c r="AM12" s="1150"/>
      <c r="AN12" s="1150" t="str">
        <f>IF(T12="","",T12)</f>
        <v>Добавить централизованную систему для дифференциации</v>
      </c>
      <c r="AO12" s="1150"/>
      <c r="AP12" s="1150"/>
    </row>
    <row s="32289" customFormat="1" customHeight="1" ht="14.25" hidden="1">
      <c r="A13" s="1709"/>
      <c r="B13" s="1709"/>
      <c r="C13" s="1709"/>
      <c r="D13" s="1709"/>
      <c r="E13" s="2527"/>
      <c r="F13" s="1709"/>
      <c r="G13" s="1709"/>
      <c r="H13" s="1709"/>
      <c r="I13" s="1709"/>
      <c r="J13" s="1709"/>
      <c r="K13" s="1709"/>
      <c r="L13" s="1712"/>
      <c r="M13" s="1687"/>
      <c r="N13" s="1687"/>
      <c r="O13" s="879"/>
      <c r="P13" s="741"/>
      <c r="Q13" s="1710"/>
      <c r="R13" s="741"/>
      <c r="S13" s="1688"/>
      <c r="T13" s="1691" t="s">
        <v>270</v>
      </c>
      <c r="U13" s="1690"/>
      <c r="V13" s="1690"/>
      <c r="W13" s="1690"/>
      <c r="X13" s="1690"/>
      <c r="Y13" s="1690"/>
      <c r="Z13" s="1690"/>
      <c r="AA13" s="1690"/>
      <c r="AB13" s="1690"/>
      <c r="AC13" s="1690"/>
      <c r="AD13" s="1690"/>
      <c r="AE13" s="1690"/>
      <c r="AF13" s="1690"/>
      <c r="AG13" s="1690"/>
      <c r="AH13" s="1690"/>
      <c r="AI13" s="1690"/>
      <c r="AJ13" s="1690"/>
      <c r="AK13" s="1690"/>
      <c r="AM13" s="861"/>
      <c r="AN13" s="861" t="str">
        <f>IF(T13="","",T13)</f>
        <v>Добавить территорию для дифференциации</v>
      </c>
      <c r="AO13" s="861"/>
      <c r="AP13" s="861"/>
    </row>
    <row customHeight="1" ht="14.25" hidden="1">
      <c r="AB14" s="688"/>
      <c r="AI14" s="688"/>
    </row>
    <row customHeight="1" ht="14.25" hidden="1">
      <c r="AC15" s="1726"/>
      <c r="AD15" s="1726"/>
      <c r="AE15" s="1727"/>
      <c r="AF15" s="2525"/>
      <c r="AG15" s="2524" t="s">
        <v>66</v>
      </c>
      <c r="AH15" s="2525"/>
      <c r="AI15" s="2524" t="s">
        <v>66</v>
      </c>
    </row>
    <row customHeight="1" ht="14.25" hidden="1">
      <c r="AC16" s="1726"/>
      <c r="AD16" s="1726"/>
      <c r="AE16" s="689" t="str">
        <f>AF15&amp;"-"&amp;AH15</f>
        <v>-</v>
      </c>
      <c r="AF16" s="2524"/>
      <c r="AG16" s="2524"/>
      <c r="AH16" s="2524"/>
      <c r="AI16" s="2524"/>
    </row>
    <row customHeight="1" ht="14.25" hidden="1">
      <c r="AI17" s="688"/>
    </row>
    <row s="32217" customFormat="1" customHeight="1" ht="22.5" hidden="1">
      <c r="L18" s="1787"/>
      <c r="M18" s="1728"/>
      <c r="N18" s="1728"/>
      <c r="O18" s="1733" t="s">
        <v>456</v>
      </c>
      <c r="P18" s="1728"/>
      <c r="Q18" s="1737"/>
      <c r="R18" s="1737"/>
      <c r="S18" s="1090"/>
      <c r="Y18" s="1733"/>
      <c r="AA18" s="1733"/>
      <c r="AB18" s="1732"/>
      <c r="AF18" s="1733"/>
      <c r="AH18" s="1733"/>
      <c r="AI18" s="1732"/>
      <c r="AL18" s="872"/>
      <c r="AM18" s="872"/>
      <c r="AN18" s="872"/>
      <c r="AO18" s="872"/>
      <c r="AP18" s="872"/>
    </row>
    <row s="32217" customFormat="1" customHeight="1" ht="14.25" hidden="1">
      <c r="L19" s="1787"/>
      <c r="M19" s="1728"/>
      <c r="N19" s="1728"/>
      <c r="O19" s="1728"/>
      <c r="P19" s="1728"/>
      <c r="Q19" s="1737"/>
      <c r="R19" s="1737"/>
      <c r="S19" s="1090"/>
      <c r="AB19" s="1732"/>
      <c r="AI19" s="1732"/>
      <c r="AL19" s="872"/>
      <c r="AM19" s="872"/>
      <c r="AN19" s="872"/>
      <c r="AO19" s="872"/>
      <c r="AP19" s="872"/>
    </row>
    <row s="32217" customFormat="1" customHeight="1" ht="12" hidden="1">
      <c r="L20" s="1787"/>
      <c r="M20" s="1728"/>
      <c r="N20" s="1728"/>
      <c r="O20" s="1730" t="s">
        <v>457</v>
      </c>
      <c r="P20" s="1728"/>
      <c r="Q20" s="1808"/>
      <c r="R20" s="1808"/>
      <c r="S20" s="1090"/>
      <c r="T20" s="1523" t="s">
        <v>458</v>
      </c>
      <c r="Z20" s="547" t="s">
        <v>459</v>
      </c>
      <c r="AB20" s="547" t="s">
        <v>460</v>
      </c>
      <c r="AC20" s="1523" t="s">
        <v>458</v>
      </c>
      <c r="AG20" s="547" t="s">
        <v>461</v>
      </c>
      <c r="AI20" s="547" t="s">
        <v>460</v>
      </c>
    </row>
    <row customHeight="1" ht="14.25" hidden="1">
      <c r="O21" s="1730"/>
    </row>
    <row customHeight="1" ht="14.25" hidden="1">
      <c r="O22" s="1730"/>
    </row>
    <row customHeight="1" ht="14.25">
      <c r="Q23" s="737"/>
      <c r="R23" s="737"/>
      <c r="S23" s="1641"/>
      <c r="T23" s="724"/>
      <c r="U23" s="724"/>
      <c r="V23" s="870"/>
      <c r="W23" s="870"/>
      <c r="X23" s="870"/>
      <c r="Y23" s="870"/>
      <c r="Z23" s="870"/>
      <c r="AA23" s="870"/>
      <c r="AB23" s="870"/>
      <c r="AC23" s="870"/>
      <c r="AD23" s="870"/>
      <c r="AE23" s="870"/>
      <c r="AF23" s="870"/>
      <c r="AG23" s="870"/>
      <c r="AH23" s="870"/>
      <c r="AI23" s="870"/>
    </row>
    <row customHeight="1" ht="14.25">
      <c r="Q24" s="737"/>
      <c r="R24" s="737"/>
      <c r="S24" s="256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560"/>
      <c r="U24" s="2560"/>
      <c r="V24" s="2560"/>
      <c r="W24" s="2560"/>
      <c r="X24" s="2560"/>
      <c r="Y24" s="2560"/>
      <c r="Z24" s="2560"/>
      <c r="AA24" s="2560"/>
      <c r="AB24" s="2560"/>
      <c r="AC24" s="2560"/>
      <c r="AD24" s="2560"/>
      <c r="AE24" s="2560"/>
      <c r="AF24" s="2560"/>
      <c r="AG24" s="2560"/>
      <c r="AH24" s="2560"/>
      <c r="AI24" s="1608"/>
    </row>
    <row customHeight="1" ht="14.25">
      <c r="Q25" s="737"/>
      <c r="R25" s="737"/>
      <c r="S25" s="2561" t="str">
        <f>IF(org=0,"Не определено",org)</f>
        <v>АО "Мурманэнергосбыт"</v>
      </c>
      <c r="T25" s="2561"/>
      <c r="U25" s="2561"/>
      <c r="V25" s="2561"/>
      <c r="W25" s="2561"/>
      <c r="X25" s="2561"/>
      <c r="Y25" s="2561"/>
      <c r="Z25" s="2561"/>
      <c r="AA25" s="2561"/>
      <c r="AB25" s="2561"/>
      <c r="AC25" s="2561"/>
      <c r="AD25" s="2561"/>
      <c r="AE25" s="2561"/>
      <c r="AF25" s="2561"/>
      <c r="AG25" s="2561"/>
      <c r="AH25" s="2561"/>
      <c r="AI25" s="1608"/>
    </row>
    <row customHeight="1" ht="14.25">
      <c r="Q26" s="737"/>
      <c r="R26" s="737"/>
      <c r="S26" s="1641"/>
      <c r="T26" s="724"/>
      <c r="U26" s="724"/>
      <c r="V26" s="683"/>
      <c r="W26" s="683"/>
      <c r="X26" s="683"/>
      <c r="Y26" s="683"/>
      <c r="Z26" s="683"/>
      <c r="AA26" s="683"/>
      <c r="AB26" s="683"/>
      <c r="AC26" s="683"/>
      <c r="AD26" s="683"/>
      <c r="AE26" s="683"/>
      <c r="AF26" s="683"/>
      <c r="AG26" s="683"/>
      <c r="AH26" s="683"/>
      <c r="AI26" s="683"/>
      <c r="AJ26" s="870"/>
    </row>
    <row s="32230" customFormat="1" customHeight="1" ht="25.5">
      <c r="A27" s="1734"/>
      <c r="B27" s="1734"/>
      <c r="C27" s="1734"/>
      <c r="D27" s="1734"/>
      <c r="E27" s="1734"/>
      <c r="F27" s="1734"/>
      <c r="G27" s="1734"/>
      <c r="H27" s="1734"/>
      <c r="I27" s="1734"/>
      <c r="J27" s="1734"/>
      <c r="K27" s="1734"/>
      <c r="L27" s="1735"/>
      <c r="M27" s="1734"/>
      <c r="N27" s="1734"/>
      <c r="O27" s="1734"/>
      <c r="S27" s="2518" t="s">
        <v>38</v>
      </c>
      <c r="T27" s="2518"/>
      <c r="U27" s="1738"/>
      <c r="V27" s="2520" t="str">
        <f>IF(TITLE_NAME_OR_PR_CHANGE="",IF(TITLE_NAME_OR_PR="","",TITLE_NAME_OR_PR),TITLE_NAME_OR_PR_CHANGE)</f>
        <v>Комитет по тарифному регулированию Мурманской области</v>
      </c>
      <c r="W27" s="2520"/>
      <c r="X27" s="2520"/>
      <c r="Y27" s="2520"/>
      <c r="Z27" s="2520"/>
      <c r="AA27" s="2520"/>
      <c r="AB27" s="687"/>
      <c r="AC27" s="2520" t="str">
        <f>IF(TITLE_NAME_OR_PR_CHANGE="",IF(TITLE_NAME_OR_PR="","",TITLE_NAME_OR_PR),TITLE_NAME_OR_PR_CHANGE)</f>
        <v>Комитет по тарифному регулированию Мурманской области</v>
      </c>
      <c r="AD27" s="2520"/>
      <c r="AE27" s="2520"/>
      <c r="AF27" s="2520"/>
      <c r="AG27" s="2520"/>
      <c r="AH27" s="2520"/>
      <c r="AI27" s="687"/>
      <c r="AJ27" s="687"/>
      <c r="AK27" s="641"/>
      <c r="AL27" s="729"/>
      <c r="AM27" s="729"/>
      <c r="AN27" s="729"/>
      <c r="AO27" s="729"/>
      <c r="AP27" s="729"/>
    </row>
    <row s="32230" customFormat="1" customHeight="1" ht="18.75">
      <c r="A28" s="1734"/>
      <c r="B28" s="1734"/>
      <c r="C28" s="1734"/>
      <c r="D28" s="1734"/>
      <c r="E28" s="1734"/>
      <c r="F28" s="1734"/>
      <c r="G28" s="1734"/>
      <c r="H28" s="1734"/>
      <c r="I28" s="1734"/>
      <c r="J28" s="1734"/>
      <c r="K28" s="1734"/>
      <c r="L28" s="1735"/>
      <c r="M28" s="1734"/>
      <c r="N28" s="1734"/>
      <c r="O28" s="1734"/>
      <c r="S28" s="2518" t="s">
        <v>462</v>
      </c>
      <c r="T28" s="2518"/>
      <c r="U28" s="1738"/>
      <c r="V28" s="2519" t="str">
        <f>IF(TITLE_DATE_PR_CHANGE="",IF(TITLE_DATE_PR="","",TITLE_DATE_PR),TITLE_DATE_PR_CHANGE)</f>
        <v>45280</v>
      </c>
      <c r="W28" s="2519"/>
      <c r="X28" s="2519"/>
      <c r="Y28" s="2519"/>
      <c r="Z28" s="2519"/>
      <c r="AA28" s="2519"/>
      <c r="AB28" s="687"/>
      <c r="AC28" s="2519" t="str">
        <f>IF(TITLE_DATE_PR_CHANGE="",IF(TITLE_DATE_PR="","",TITLE_DATE_PR),TITLE_DATE_PR_CHANGE)</f>
        <v>45280</v>
      </c>
      <c r="AD28" s="2519"/>
      <c r="AE28" s="2519"/>
      <c r="AF28" s="2519"/>
      <c r="AG28" s="2519"/>
      <c r="AH28" s="2519"/>
      <c r="AI28" s="687"/>
      <c r="AJ28" s="687"/>
      <c r="AK28" s="641"/>
      <c r="AL28" s="729"/>
      <c r="AM28" s="729"/>
      <c r="AN28" s="729"/>
      <c r="AO28" s="729"/>
      <c r="AP28" s="729"/>
    </row>
    <row s="32230" customFormat="1" customHeight="1" ht="18.75">
      <c r="A29" s="1734"/>
      <c r="B29" s="1734"/>
      <c r="C29" s="1734"/>
      <c r="D29" s="1734"/>
      <c r="E29" s="1734"/>
      <c r="F29" s="1734"/>
      <c r="G29" s="1734"/>
      <c r="H29" s="1734"/>
      <c r="I29" s="1734"/>
      <c r="J29" s="1734"/>
      <c r="K29" s="1734"/>
      <c r="L29" s="1735"/>
      <c r="M29" s="1734"/>
      <c r="N29" s="1734"/>
      <c r="O29" s="1734"/>
      <c r="S29" s="2518" t="s">
        <v>463</v>
      </c>
      <c r="T29" s="2518"/>
      <c r="U29" s="1738"/>
      <c r="V29" s="2520" t="str">
        <f>IF(TITLE_NUMBER_PR_CHANGE="",IF(TITLE_NUMBER_PR="","",TITLE_NUMBER_PR),TITLE_NUMBER_PR_CHANGE)</f>
        <v>51/16</v>
      </c>
      <c r="W29" s="2520"/>
      <c r="X29" s="2520"/>
      <c r="Y29" s="2520"/>
      <c r="Z29" s="2520"/>
      <c r="AA29" s="2520"/>
      <c r="AB29" s="687"/>
      <c r="AC29" s="2520" t="str">
        <f>IF(TITLE_NUMBER_PR_CHANGE="",IF(TITLE_NUMBER_PR="","",TITLE_NUMBER_PR),TITLE_NUMBER_PR_CHANGE)</f>
        <v>51/16</v>
      </c>
      <c r="AD29" s="2520"/>
      <c r="AE29" s="2520"/>
      <c r="AF29" s="2520"/>
      <c r="AG29" s="2520"/>
      <c r="AH29" s="2520"/>
      <c r="AI29" s="687"/>
      <c r="AJ29" s="687"/>
      <c r="AK29" s="641"/>
      <c r="AL29" s="729"/>
      <c r="AM29" s="729"/>
      <c r="AN29" s="729"/>
      <c r="AO29" s="729"/>
      <c r="AP29" s="729"/>
    </row>
    <row s="32230" customFormat="1" customHeight="1" ht="18.75">
      <c r="A30" s="1734"/>
      <c r="B30" s="1734"/>
      <c r="C30" s="1734"/>
      <c r="D30" s="1734"/>
      <c r="E30" s="1734"/>
      <c r="F30" s="1734"/>
      <c r="G30" s="1734"/>
      <c r="H30" s="1734"/>
      <c r="I30" s="1734"/>
      <c r="J30" s="1734"/>
      <c r="K30" s="1734"/>
      <c r="L30" s="1735"/>
      <c r="M30" s="1734"/>
      <c r="N30" s="1734"/>
      <c r="O30" s="1734"/>
      <c r="S30" s="2518" t="s">
        <v>40</v>
      </c>
      <c r="T30" s="2518"/>
      <c r="U30" s="1738"/>
      <c r="V30" s="2520" t="str">
        <f>IF(TITLE_IST_PUB_CHANGE="",IF(TITLE_IST_PUB="","",TITLE_IST_PUB),TITLE_IST_PUB_CHANGE)</f>
        <v>https://npa.gov-murman.ru/bitrix/components/b1team/govmurman.element.file/download.php?ID=508455&amp;FID=750728</v>
      </c>
      <c r="W30" s="2520"/>
      <c r="X30" s="2520"/>
      <c r="Y30" s="2520"/>
      <c r="Z30" s="2520"/>
      <c r="AA30" s="2520"/>
      <c r="AB30" s="687"/>
      <c r="AC30" s="2520" t="str">
        <f>IF(TITLE_IST_PUB_CHANGE="",IF(TITLE_IST_PUB="","",TITLE_IST_PUB),TITLE_IST_PUB_CHANGE)</f>
        <v>https://npa.gov-murman.ru/bitrix/components/b1team/govmurman.element.file/download.php?ID=508455&amp;FID=750728</v>
      </c>
      <c r="AD30" s="2520"/>
      <c r="AE30" s="2520"/>
      <c r="AF30" s="2520"/>
      <c r="AG30" s="2520"/>
      <c r="AH30" s="2520"/>
      <c r="AI30" s="687"/>
      <c r="AJ30" s="687"/>
      <c r="AK30" s="641"/>
      <c r="AL30" s="729"/>
      <c r="AM30" s="729"/>
      <c r="AN30" s="729"/>
      <c r="AO30" s="729"/>
      <c r="AP30" s="729"/>
    </row>
    <row customHeight="1" ht="14.25" hidden="1">
      <c r="Q31" s="737"/>
      <c r="R31" s="737"/>
      <c r="S31" s="1641"/>
      <c r="T31" s="724"/>
      <c r="U31" s="724"/>
      <c r="V31" s="683"/>
      <c r="W31" s="683"/>
      <c r="X31" s="683"/>
      <c r="Y31" s="683"/>
      <c r="Z31" s="683"/>
      <c r="AA31" s="683"/>
      <c r="AB31" s="683"/>
      <c r="AC31" s="683"/>
      <c r="AD31" s="683"/>
      <c r="AE31" s="683"/>
      <c r="AF31" s="683"/>
      <c r="AG31" s="683"/>
      <c r="AH31" s="683"/>
      <c r="AI31" s="683"/>
      <c r="AJ31" s="870"/>
    </row>
    <row s="32230" customFormat="1" customHeight="1" ht="18.75" hidden="1">
      <c r="A32" s="1734"/>
      <c r="B32" s="1734"/>
      <c r="C32" s="1734"/>
      <c r="D32" s="1734"/>
      <c r="E32" s="1734"/>
      <c r="F32" s="1734"/>
      <c r="G32" s="1734"/>
      <c r="H32" s="1734"/>
      <c r="I32" s="1734"/>
      <c r="J32" s="1734"/>
      <c r="K32" s="1734"/>
      <c r="L32" s="1735"/>
      <c r="M32" s="1734"/>
      <c r="N32" s="1734"/>
      <c r="O32" s="1734"/>
      <c r="S32" s="2518" t="s">
        <v>464</v>
      </c>
      <c r="T32" s="2518"/>
      <c r="U32" s="1738"/>
      <c r="V32" s="2519" t="str">
        <f>IF(TITLE_DATE_PR_CHANGE="",IF(TITLE_DATE_PR="","",TITLE_DATE_PR),TITLE_DATE_PR_CHANGE)</f>
        <v>45280</v>
      </c>
      <c r="W32" s="2519"/>
      <c r="X32" s="2519"/>
      <c r="Y32" s="2519"/>
      <c r="Z32" s="2519"/>
      <c r="AA32" s="2519"/>
      <c r="AB32" s="687"/>
      <c r="AC32" s="2519" t="str">
        <f>IF(TITLE_DATE_PR_CHANGE="",IF(TITLE_DATE_PR="","",TITLE_DATE_PR),TITLE_DATE_PR_CHANGE)</f>
        <v>45280</v>
      </c>
      <c r="AD32" s="2519"/>
      <c r="AE32" s="2519"/>
      <c r="AF32" s="2519"/>
      <c r="AG32" s="2519"/>
      <c r="AH32" s="2519"/>
      <c r="AI32" s="687"/>
      <c r="AJ32" s="687"/>
      <c r="AK32" s="641"/>
      <c r="AL32" s="729"/>
      <c r="AM32" s="729"/>
      <c r="AN32" s="729"/>
      <c r="AO32" s="729"/>
      <c r="AP32" s="729"/>
    </row>
    <row s="32230" customFormat="1" customHeight="1" ht="18.75" hidden="1">
      <c r="A33" s="1734"/>
      <c r="B33" s="1734"/>
      <c r="C33" s="1734"/>
      <c r="D33" s="1734"/>
      <c r="E33" s="1734"/>
      <c r="F33" s="1734"/>
      <c r="G33" s="1734"/>
      <c r="H33" s="1734"/>
      <c r="I33" s="1734"/>
      <c r="J33" s="1734"/>
      <c r="K33" s="1734"/>
      <c r="L33" s="1735"/>
      <c r="M33" s="1734"/>
      <c r="N33" s="1734"/>
      <c r="O33" s="1734"/>
      <c r="S33" s="2518" t="s">
        <v>465</v>
      </c>
      <c r="T33" s="2518"/>
      <c r="U33" s="1738"/>
      <c r="V33" s="2520" t="str">
        <f>IF(TITLE_NUMBER_PR_CHANGE="",IF(TITLE_NUMBER_PR="","",TITLE_NUMBER_PR),TITLE_NUMBER_PR_CHANGE)</f>
        <v>51/16</v>
      </c>
      <c r="W33" s="2520"/>
      <c r="X33" s="2520"/>
      <c r="Y33" s="2520"/>
      <c r="Z33" s="2520"/>
      <c r="AA33" s="2520"/>
      <c r="AB33" s="687"/>
      <c r="AC33" s="2520" t="str">
        <f>IF(TITLE_NUMBER_PR_CHANGE="",IF(TITLE_NUMBER_PR="","",TITLE_NUMBER_PR),TITLE_NUMBER_PR_CHANGE)</f>
        <v>51/16</v>
      </c>
      <c r="AD33" s="2520"/>
      <c r="AE33" s="2520"/>
      <c r="AF33" s="2520"/>
      <c r="AG33" s="2520"/>
      <c r="AH33" s="2520"/>
      <c r="AI33" s="687"/>
      <c r="AJ33" s="687"/>
      <c r="AK33" s="641"/>
      <c r="AL33" s="729"/>
      <c r="AM33" s="729"/>
      <c r="AN33" s="729"/>
      <c r="AO33" s="729"/>
      <c r="AP33" s="729"/>
    </row>
    <row s="32230" customFormat="1" customHeight="1" ht="0.75">
      <c r="A34" s="1734"/>
      <c r="B34" s="1734"/>
      <c r="C34" s="1734"/>
      <c r="D34" s="1734"/>
      <c r="E34" s="1734"/>
      <c r="F34" s="1734"/>
      <c r="G34" s="1734"/>
      <c r="H34" s="1734"/>
      <c r="I34" s="1734"/>
      <c r="J34" s="1734"/>
      <c r="K34" s="1734"/>
      <c r="L34" s="1735"/>
      <c r="M34" s="1734"/>
      <c r="N34" s="1734"/>
      <c r="O34" s="1734"/>
      <c r="S34" s="684"/>
      <c r="T34" s="684"/>
      <c r="U34" s="1721"/>
      <c r="V34" s="687"/>
      <c r="W34" s="687"/>
      <c r="X34" s="687"/>
      <c r="Y34" s="687"/>
      <c r="Z34" s="687"/>
      <c r="AA34" s="687"/>
      <c r="AB34" s="639" t="s">
        <v>466</v>
      </c>
      <c r="AC34" s="687"/>
      <c r="AD34" s="687"/>
      <c r="AE34" s="687"/>
      <c r="AF34" s="687"/>
      <c r="AG34" s="687"/>
      <c r="AH34" s="687"/>
      <c r="AI34" s="639" t="s">
        <v>466</v>
      </c>
      <c r="AL34" s="729"/>
      <c r="AM34" s="729"/>
      <c r="AN34" s="729"/>
      <c r="AO34" s="729"/>
      <c r="AP34" s="729"/>
    </row>
    <row customHeight="1" ht="14.25">
      <c r="Q35" s="737"/>
      <c r="R35" s="737"/>
      <c r="S35" s="1641"/>
      <c r="T35" s="724"/>
      <c r="U35" s="1609"/>
      <c r="V35" s="2544"/>
      <c r="W35" s="2544"/>
      <c r="X35" s="2544"/>
      <c r="Y35" s="2544"/>
      <c r="Z35" s="2544"/>
      <c r="AA35" s="2544"/>
      <c r="AB35" s="2544"/>
      <c r="AC35" s="2544"/>
      <c r="AD35" s="2544"/>
      <c r="AE35" s="2544"/>
      <c r="AF35" s="2544"/>
      <c r="AG35" s="2544"/>
      <c r="AH35" s="2544"/>
      <c r="AI35" s="2544"/>
    </row>
    <row customHeight="1" ht="14.25">
      <c r="Q36" s="737"/>
      <c r="R36" s="737"/>
      <c r="S36" s="2392" t="s">
        <v>341</v>
      </c>
      <c r="T36" s="2392"/>
      <c r="U36" s="2392"/>
      <c r="V36" s="2392"/>
      <c r="W36" s="2392"/>
      <c r="X36" s="2392"/>
      <c r="Y36" s="2392"/>
      <c r="Z36" s="2392"/>
      <c r="AA36" s="2392"/>
      <c r="AB36" s="2392"/>
      <c r="AC36" s="2392"/>
      <c r="AD36" s="2392"/>
      <c r="AE36" s="2392"/>
      <c r="AF36" s="2392"/>
      <c r="AG36" s="2392"/>
      <c r="AH36" s="2392"/>
      <c r="AI36" s="2392"/>
      <c r="AJ36" s="2392"/>
      <c r="AK36" s="2392" t="s">
        <v>342</v>
      </c>
    </row>
    <row customHeight="1" ht="14.25">
      <c r="Q37" s="737"/>
      <c r="R37" s="737"/>
      <c r="S37" s="2545" t="s">
        <v>87</v>
      </c>
      <c r="T37" s="2482" t="s">
        <v>467</v>
      </c>
      <c r="U37" s="662"/>
      <c r="V37" s="2546" t="s">
        <v>468</v>
      </c>
      <c r="W37" s="2547"/>
      <c r="X37" s="2547"/>
      <c r="Y37" s="2547"/>
      <c r="Z37" s="2547"/>
      <c r="AA37" s="2548"/>
      <c r="AB37" s="2549" t="s">
        <v>469</v>
      </c>
      <c r="AC37" s="2546" t="s">
        <v>468</v>
      </c>
      <c r="AD37" s="2547"/>
      <c r="AE37" s="2547"/>
      <c r="AF37" s="2547"/>
      <c r="AG37" s="2547"/>
      <c r="AH37" s="2548"/>
      <c r="AI37" s="2549" t="s">
        <v>470</v>
      </c>
      <c r="AJ37" s="2552" t="s">
        <v>471</v>
      </c>
      <c r="AK37" s="2392"/>
    </row>
    <row customHeight="1" ht="33.75">
      <c r="Q38" s="737"/>
      <c r="R38" s="737"/>
      <c r="S38" s="2545"/>
      <c r="T38" s="2482"/>
      <c r="U38" s="1393"/>
      <c r="V38" s="1718" t="s">
        <v>528</v>
      </c>
      <c r="W38" s="2538" t="s">
        <v>474</v>
      </c>
      <c r="X38" s="2540"/>
      <c r="Y38" s="2538" t="s">
        <v>475</v>
      </c>
      <c r="Z38" s="2539"/>
      <c r="AA38" s="2540"/>
      <c r="AB38" s="2550"/>
      <c r="AC38" s="1718" t="s">
        <v>528</v>
      </c>
      <c r="AD38" s="2538" t="s">
        <v>474</v>
      </c>
      <c r="AE38" s="2540"/>
      <c r="AF38" s="2538" t="s">
        <v>475</v>
      </c>
      <c r="AG38" s="2539"/>
      <c r="AH38" s="2540"/>
      <c r="AI38" s="2550"/>
      <c r="AJ38" s="2553"/>
      <c r="AK38" s="2392"/>
    </row>
    <row customHeight="1" ht="33.75">
      <c r="A39" s="1736"/>
      <c r="B39" s="1736" t="s">
        <v>143</v>
      </c>
      <c r="C39" s="1736" t="s">
        <v>144</v>
      </c>
      <c r="D39" s="1736" t="s">
        <v>145</v>
      </c>
      <c r="E39" s="1730" t="s">
        <v>476</v>
      </c>
      <c r="F39" s="1730" t="s">
        <v>477</v>
      </c>
      <c r="G39" s="1730" t="s">
        <v>478</v>
      </c>
      <c r="H39" s="1730"/>
      <c r="I39" s="1730" t="s">
        <v>529</v>
      </c>
      <c r="J39" s="1730" t="s">
        <v>481</v>
      </c>
      <c r="K39" s="1730" t="s">
        <v>530</v>
      </c>
      <c r="L39" s="1730" t="s">
        <v>457</v>
      </c>
      <c r="Q39" s="737"/>
      <c r="R39" s="737"/>
      <c r="S39" s="2545"/>
      <c r="T39" s="2482"/>
      <c r="U39" s="663"/>
      <c r="V39" s="1718" t="s">
        <v>531</v>
      </c>
      <c r="W39" s="1587" t="s">
        <v>532</v>
      </c>
      <c r="X39" s="1587" t="s">
        <v>533</v>
      </c>
      <c r="Y39" s="1723" t="s">
        <v>485</v>
      </c>
      <c r="Z39" s="2541" t="s">
        <v>486</v>
      </c>
      <c r="AA39" s="2542"/>
      <c r="AB39" s="2551"/>
      <c r="AC39" s="1718" t="s">
        <v>531</v>
      </c>
      <c r="AD39" s="1587" t="s">
        <v>532</v>
      </c>
      <c r="AE39" s="1587" t="s">
        <v>533</v>
      </c>
      <c r="AF39" s="1723" t="s">
        <v>485</v>
      </c>
      <c r="AG39" s="2541" t="s">
        <v>486</v>
      </c>
      <c r="AH39" s="2542"/>
      <c r="AI39" s="2551"/>
      <c r="AJ39" s="2554"/>
      <c r="AK39" s="2392"/>
    </row>
    <row s="32049" customFormat="1" customHeight="1" ht="11.25" hidden="1">
      <c r="A40" s="1736"/>
      <c r="B40" s="1736"/>
      <c r="C40" s="1736"/>
      <c r="D40" s="1736"/>
      <c r="E40" s="1736"/>
      <c r="F40" s="1736"/>
      <c r="G40" s="1736"/>
      <c r="H40" s="1736"/>
      <c r="I40" s="1736"/>
      <c r="J40" s="1736"/>
      <c r="K40" s="1736"/>
      <c r="L40" s="1730"/>
      <c r="M40" s="1728"/>
      <c r="N40" s="1728"/>
      <c r="O40" s="1728"/>
      <c r="P40" s="1611"/>
      <c r="Q40" s="1612"/>
      <c r="R40" s="1619">
        <v>1</v>
      </c>
      <c r="S40" s="1643" t="s">
        <v>118</v>
      </c>
      <c r="T40" s="1620" t="s">
        <v>102</v>
      </c>
      <c r="U40" s="1610" t="str">
        <f>OFFSET(U40,0,-1)</f>
        <v>2</v>
      </c>
      <c r="V40" s="1719">
        <f>OFFSET(V40,0,-1)+1</f>
        <v>3</v>
      </c>
      <c r="W40" s="1719">
        <f>OFFSET(W40,0,-1)+1</f>
        <v>4</v>
      </c>
      <c r="X40" s="1719">
        <f>OFFSET(X40,0,-1)+1</f>
        <v>5</v>
      </c>
      <c r="Y40" s="1719">
        <f>OFFSET(Y40,0,-1)+1</f>
        <v>6</v>
      </c>
      <c r="Z40" s="2543">
        <f>OFFSET(Z40,0,-1)+1</f>
        <v>7</v>
      </c>
      <c r="AA40" s="2543"/>
      <c r="AB40" s="1719">
        <f>OFFSET(AB40,0,-2)+1</f>
        <v>8</v>
      </c>
      <c r="AC40" s="1719">
        <f>OFFSET(AC40,0,-1)+1</f>
        <v>9</v>
      </c>
      <c r="AD40" s="1719">
        <f>OFFSET(AD40,0,-1)+1</f>
        <v>10</v>
      </c>
      <c r="AE40" s="1719">
        <f>OFFSET(AE40,0,-1)+1</f>
        <v>11</v>
      </c>
      <c r="AF40" s="1719">
        <f>OFFSET(AF40,0,-1)+1</f>
        <v>12</v>
      </c>
      <c r="AG40" s="2543">
        <f>OFFSET(AG40,0,-1)+1</f>
        <v>13</v>
      </c>
      <c r="AH40" s="2543"/>
      <c r="AI40" s="1719">
        <f>OFFSET(AI40,0,-2)+1</f>
        <v>14</v>
      </c>
      <c r="AJ40" s="1610">
        <f>OFFSET(AJ40,0,-1)</f>
        <v>14</v>
      </c>
      <c r="AK40" s="1719">
        <f>OFFSET(AK40,0,-1)+1</f>
        <v>15</v>
      </c>
      <c r="AL40" s="872"/>
      <c r="AM40" s="872"/>
      <c r="AN40" s="872"/>
      <c r="AO40" s="872"/>
      <c r="AP40" s="872"/>
    </row>
    <row customHeight="1" ht="23.25">
      <c r="A41" s="1729" t="s">
        <v>230</v>
      </c>
      <c r="B41" s="1729"/>
      <c r="C41" s="1729"/>
      <c r="D41" s="1729"/>
      <c r="E41" s="2527">
        <v>1</v>
      </c>
      <c r="F41" s="1729"/>
      <c r="G41" s="1729"/>
      <c r="H41" s="1729"/>
      <c r="I41" s="1729"/>
      <c r="J41" s="1729"/>
      <c r="K41" s="1729"/>
      <c r="L41" s="1730"/>
      <c r="M41" s="1731"/>
      <c r="N41" s="1731"/>
      <c r="O41" s="1731"/>
      <c r="P41" s="722"/>
      <c r="Q41" s="721"/>
      <c r="R41" s="716"/>
      <c r="S41" s="1724">
        <f>INDEX(PT_DIFFERENTIATION_NUM_NTAR,MATCH(A41,PT_DIFFERENTIATION_NTAR_ID,0))</f>
        <v>0</v>
      </c>
      <c r="T41" s="659" t="s">
        <v>131</v>
      </c>
      <c r="U41" s="661"/>
      <c r="V41" s="2521"/>
      <c r="W41" s="2522"/>
      <c r="X41" s="2522"/>
      <c r="Y41" s="2522"/>
      <c r="Z41" s="2522"/>
      <c r="AA41" s="2522"/>
      <c r="AB41" s="2523"/>
      <c r="AC41" s="2521" t="str">
        <f>INDEX(PT_DIFFERENTIATION_NTAR,MATCH(A41,PT_DIFFERENTIATION_NTAR_ID,0))</f>
        <v/>
      </c>
      <c r="AD41" s="2522"/>
      <c r="AE41" s="2522"/>
      <c r="AF41" s="2522"/>
      <c r="AG41" s="2522"/>
      <c r="AH41" s="2522"/>
      <c r="AI41" s="2522"/>
      <c r="AJ41" s="2523"/>
      <c r="AK41"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861"/>
      <c r="AN41" s="861" t="str">
        <f>IF(T41="","",T41)</f>
        <v>Наименование тарифа</v>
      </c>
      <c r="AO41" s="861"/>
      <c r="AP41" s="861"/>
    </row>
    <row customHeight="1" ht="23.25">
      <c r="A42" s="1729" t="s">
        <v>230</v>
      </c>
      <c r="B42" s="1729" t="s">
        <v>231</v>
      </c>
      <c r="C42" s="1729"/>
      <c r="D42" s="1729"/>
      <c r="E42" s="2528"/>
      <c r="F42" s="2527">
        <v>1</v>
      </c>
      <c r="G42" s="1729"/>
      <c r="H42" s="1729"/>
      <c r="I42" s="1729"/>
      <c r="J42" s="1729"/>
      <c r="K42" s="1729"/>
      <c r="L42" s="1730"/>
      <c r="M42" s="1731"/>
      <c r="N42" s="1731"/>
      <c r="O42" s="1731"/>
      <c r="P42" s="1722"/>
      <c r="Q42" s="713"/>
      <c r="R42" s="714"/>
      <c r="S42" s="1724" t="str">
        <f>INDEX(PT_DIFFERENTIATION_NUM_TER,MATCH(B42,PT_DIFFERENTIATION_TER_ID,0))</f>
        <v>.</v>
      </c>
      <c r="T42" s="669" t="s">
        <v>438</v>
      </c>
      <c r="U42" s="661"/>
      <c r="V42" s="2521"/>
      <c r="W42" s="2522"/>
      <c r="X42" s="2522"/>
      <c r="Y42" s="2522"/>
      <c r="Z42" s="2522"/>
      <c r="AA42" s="2522"/>
      <c r="AB42" s="2523"/>
      <c r="AC42" s="2521" t="str">
        <f>INDEX(PT_DIFFERENTIATION_TER,MATCH(B42,PT_DIFFERENTIATION_TER_ID,0))</f>
        <v/>
      </c>
      <c r="AD42" s="2522"/>
      <c r="AE42" s="2522"/>
      <c r="AF42" s="2522"/>
      <c r="AG42" s="2522"/>
      <c r="AH42" s="2522"/>
      <c r="AI42" s="2522"/>
      <c r="AJ42" s="2523"/>
      <c r="AK42" s="1623" t="s">
        <v>439</v>
      </c>
      <c r="AM42" s="861"/>
      <c r="AN42" s="861" t="str">
        <f>IF(T42="","",T42)</f>
        <v>Территория действия тарифа</v>
      </c>
      <c r="AO42" s="861"/>
      <c r="AP42" s="861"/>
    </row>
    <row customHeight="1" ht="23.25">
      <c r="A43" s="1729" t="s">
        <v>230</v>
      </c>
      <c r="B43" s="1729" t="s">
        <v>231</v>
      </c>
      <c r="C43" s="1729" t="s">
        <v>232</v>
      </c>
      <c r="D43" s="1729"/>
      <c r="E43" s="2528"/>
      <c r="F43" s="2528"/>
      <c r="G43" s="2527">
        <v>1</v>
      </c>
      <c r="H43" s="1729"/>
      <c r="I43" s="1729"/>
      <c r="J43" s="1729"/>
      <c r="K43" s="1729"/>
      <c r="L43" s="1730"/>
      <c r="M43" s="1731"/>
      <c r="N43" s="1731"/>
      <c r="O43" s="1731"/>
      <c r="P43" s="715"/>
      <c r="Q43" s="713"/>
      <c r="R43" s="714"/>
      <c r="S43" s="1724" t="str">
        <f>INDEX(PT_DIFFERENTIATION_NUM_CS,MATCH(C43,PT_DIFFERENTIATION_CS_ID,0))</f>
        <v>..</v>
      </c>
      <c r="T43" s="670" t="s">
        <v>520</v>
      </c>
      <c r="U43" s="661"/>
      <c r="V43" s="2521"/>
      <c r="W43" s="2522"/>
      <c r="X43" s="2522"/>
      <c r="Y43" s="2522"/>
      <c r="Z43" s="2522"/>
      <c r="AA43" s="2522"/>
      <c r="AB43" s="2523"/>
      <c r="AC43" s="2521" t="str">
        <f>INDEX(PT_DIFFERENTIATION_CS,MATCH(C43,PT_DIFFERENTIATION_CS_ID,0))</f>
        <v/>
      </c>
      <c r="AD43" s="2522"/>
      <c r="AE43" s="2522"/>
      <c r="AF43" s="2522"/>
      <c r="AG43" s="2522"/>
      <c r="AH43" s="2522"/>
      <c r="AI43" s="2522"/>
      <c r="AJ43" s="2523"/>
      <c r="AK43" s="1623" t="s">
        <v>521</v>
      </c>
      <c r="AM43" s="861"/>
      <c r="AN43" s="861" t="str">
        <f>IF(T43="","",T43)</f>
        <v>Наименование централизованной системы холодного водоснабжения</v>
      </c>
      <c r="AO43" s="861"/>
      <c r="AP43" s="861"/>
    </row>
    <row customHeight="1" ht="23.25">
      <c r="A44" s="1729" t="s">
        <v>230</v>
      </c>
      <c r="B44" s="1729" t="s">
        <v>231</v>
      </c>
      <c r="C44" s="1729" t="s">
        <v>232</v>
      </c>
      <c r="D44" s="1729" t="s">
        <v>534</v>
      </c>
      <c r="E44" s="2528"/>
      <c r="F44" s="2528"/>
      <c r="G44" s="2528"/>
      <c r="H44" s="2528"/>
      <c r="I44" s="2529" t="str">
        <f>S43&amp;".1"</f>
        <v>...1</v>
      </c>
      <c r="J44" s="1729"/>
      <c r="K44" s="1729"/>
      <c r="L44" s="1730"/>
      <c r="P44" s="2531">
        <v>1</v>
      </c>
      <c r="Q44" s="1720"/>
      <c r="R44" s="717"/>
      <c r="S44" s="1724" t="str">
        <f>$I44</f>
        <v>...1</v>
      </c>
      <c r="T44" s="646" t="s">
        <v>522</v>
      </c>
      <c r="U44" s="661"/>
      <c r="V44" s="2614"/>
      <c r="W44" s="2615"/>
      <c r="X44" s="2615"/>
      <c r="Y44" s="2615"/>
      <c r="Z44" s="2615"/>
      <c r="AA44" s="2615"/>
      <c r="AB44" s="2616"/>
      <c r="AC44" s="2617"/>
      <c r="AD44" s="2618"/>
      <c r="AE44" s="2618"/>
      <c r="AF44" s="2618"/>
      <c r="AG44" s="2618"/>
      <c r="AH44" s="2618"/>
      <c r="AI44" s="2618"/>
      <c r="AJ44" s="2619"/>
      <c r="AK44" s="1623" t="s">
        <v>523</v>
      </c>
      <c r="AM44" s="861"/>
      <c r="AN44" s="861" t="str">
        <f>IF(T44="","",T44)</f>
        <v>Наименование признака дифференциации</v>
      </c>
      <c r="AO44" s="861"/>
      <c r="AP44" s="861"/>
    </row>
    <row customHeight="1" ht="23.25">
      <c r="A45" s="1729" t="s">
        <v>230</v>
      </c>
      <c r="B45" s="1729" t="s">
        <v>231</v>
      </c>
      <c r="C45" s="1729" t="s">
        <v>232</v>
      </c>
      <c r="D45" s="1729" t="s">
        <v>534</v>
      </c>
      <c r="E45" s="2528"/>
      <c r="F45" s="2528"/>
      <c r="G45" s="2528"/>
      <c r="H45" s="2528"/>
      <c r="I45" s="2530"/>
      <c r="J45" s="2529" t="str">
        <f>I44&amp;".1"</f>
        <v>...1.1</v>
      </c>
      <c r="K45" s="1729"/>
      <c r="L45" s="1730" t="s">
        <v>447</v>
      </c>
      <c r="P45" s="2531"/>
      <c r="Q45" s="2531">
        <v>1</v>
      </c>
      <c r="R45" s="718"/>
      <c r="S45" s="1724" t="str">
        <f>$J45</f>
        <v>...1.1</v>
      </c>
      <c r="T45" s="647" t="s">
        <v>448</v>
      </c>
      <c r="U45" s="661"/>
      <c r="V45" s="2515"/>
      <c r="W45" s="2516"/>
      <c r="X45" s="2516"/>
      <c r="Y45" s="2516"/>
      <c r="Z45" s="2516"/>
      <c r="AA45" s="2516"/>
      <c r="AB45" s="2517"/>
      <c r="AC45" s="2515"/>
      <c r="AD45" s="2516"/>
      <c r="AE45" s="2516"/>
      <c r="AF45" s="2516"/>
      <c r="AG45" s="2516"/>
      <c r="AH45" s="2516"/>
      <c r="AI45" s="2516"/>
      <c r="AJ45" s="2517"/>
      <c r="AK45" s="1673" t="s">
        <v>524</v>
      </c>
      <c r="AM45" s="861"/>
      <c r="AN45" s="861" t="str">
        <f>IF(T45="","",T45)</f>
        <v>Группа потребителей</v>
      </c>
      <c r="AO45" s="861"/>
      <c r="AP45" s="861"/>
    </row>
    <row customHeight="1" ht="23.25">
      <c r="A46" s="1729" t="s">
        <v>230</v>
      </c>
      <c r="B46" s="1729" t="s">
        <v>231</v>
      </c>
      <c r="C46" s="1729" t="s">
        <v>232</v>
      </c>
      <c r="D46" s="1729" t="s">
        <v>534</v>
      </c>
      <c r="E46" s="2528"/>
      <c r="F46" s="2528"/>
      <c r="G46" s="2528"/>
      <c r="H46" s="2528"/>
      <c r="I46" s="2530"/>
      <c r="J46" s="2530"/>
      <c r="K46" s="2529" t="str">
        <f>J45&amp;".1"</f>
        <v>...1.1.1</v>
      </c>
      <c r="L46" s="1730"/>
      <c r="P46" s="2531"/>
      <c r="Q46" s="2531"/>
      <c r="R46" s="718">
        <v>1</v>
      </c>
      <c r="S46" s="1724" t="str">
        <f>$K46</f>
        <v>...1.1.1</v>
      </c>
      <c r="T46" s="1803"/>
      <c r="U46" s="661"/>
      <c r="V46" s="1726"/>
      <c r="W46" s="1726"/>
      <c r="X46" s="1727"/>
      <c r="Y46" s="2525"/>
      <c r="Z46" s="2524" t="s">
        <v>66</v>
      </c>
      <c r="AA46" s="2525"/>
      <c r="AB46" s="2524" t="s">
        <v>66</v>
      </c>
      <c r="AC46" s="1112"/>
      <c r="AD46" s="1112"/>
      <c r="AE46" s="1622"/>
      <c r="AF46" s="2532"/>
      <c r="AG46" s="2402" t="s">
        <v>66</v>
      </c>
      <c r="AH46" s="2534"/>
      <c r="AI46" s="2402" t="s">
        <v>56</v>
      </c>
      <c r="AJ46" s="1804"/>
      <c r="AK46" s="26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72">
        <f>STRCHECKDATE(V47:AJ47)</f>
      </c>
      <c r="AM46" s="861"/>
      <c r="AN46" s="861" t="str">
        <f>IF(T46="","",T46)</f>
        <v/>
      </c>
      <c r="AO46" s="861"/>
      <c r="AP46" s="861"/>
    </row>
    <row customHeight="1" ht="0">
      <c r="A47" s="1729" t="s">
        <v>230</v>
      </c>
      <c r="B47" s="1729" t="s">
        <v>231</v>
      </c>
      <c r="C47" s="1729" t="s">
        <v>232</v>
      </c>
      <c r="D47" s="1729" t="s">
        <v>534</v>
      </c>
      <c r="E47" s="2528"/>
      <c r="F47" s="2528"/>
      <c r="G47" s="2528"/>
      <c r="H47" s="2528"/>
      <c r="I47" s="2530"/>
      <c r="J47" s="2530"/>
      <c r="K47" s="2529"/>
      <c r="L47" s="1730"/>
      <c r="P47" s="2531"/>
      <c r="Q47" s="2531"/>
      <c r="R47" s="718"/>
      <c r="S47" s="1725"/>
      <c r="T47" s="661"/>
      <c r="U47" s="661"/>
      <c r="V47" s="1726"/>
      <c r="W47" s="1726"/>
      <c r="X47" s="689" t="str">
        <f>Y46&amp;"-"&amp;AA46</f>
        <v>-</v>
      </c>
      <c r="Y47" s="2524"/>
      <c r="Z47" s="2524"/>
      <c r="AA47" s="2524"/>
      <c r="AB47" s="2524"/>
      <c r="AC47" s="686"/>
      <c r="AD47" s="686"/>
      <c r="AE47" s="689" t="str">
        <f>AF46&amp;"-"&amp;AH46</f>
        <v>-</v>
      </c>
      <c r="AF47" s="2533"/>
      <c r="AG47" s="2402"/>
      <c r="AH47" s="2535"/>
      <c r="AI47" s="2402"/>
      <c r="AJ47" s="1805"/>
      <c r="AK47" s="2620"/>
      <c r="AM47" s="861"/>
      <c r="AN47" s="861" t="str">
        <f>IF(T47="","",T47)</f>
        <v/>
      </c>
      <c r="AO47" s="861"/>
      <c r="AP47" s="861"/>
    </row>
    <row customHeight="1" ht="21">
      <c r="A48" s="1729" t="s">
        <v>230</v>
      </c>
      <c r="B48" s="1729" t="s">
        <v>231</v>
      </c>
      <c r="C48" s="1729" t="s">
        <v>232</v>
      </c>
      <c r="D48" s="1729" t="s">
        <v>534</v>
      </c>
      <c r="E48" s="2528"/>
      <c r="F48" s="2528"/>
      <c r="G48" s="2528"/>
      <c r="H48" s="2528"/>
      <c r="I48" s="2530"/>
      <c r="J48" s="2529"/>
      <c r="K48" s="1729"/>
      <c r="L48" s="1730"/>
      <c r="P48" s="2531"/>
      <c r="Q48" s="2531"/>
      <c r="R48" s="717"/>
      <c r="S48" s="1644"/>
      <c r="T48" s="648" t="s">
        <v>525</v>
      </c>
      <c r="U48" s="728"/>
      <c r="V48" s="728"/>
      <c r="W48" s="728"/>
      <c r="X48" s="728"/>
      <c r="Y48" s="728"/>
      <c r="Z48" s="728"/>
      <c r="AA48" s="728"/>
      <c r="AB48" s="728"/>
      <c r="AC48" s="728"/>
      <c r="AD48" s="728"/>
      <c r="AE48" s="728"/>
      <c r="AF48" s="728"/>
      <c r="AG48" s="728"/>
      <c r="AH48" s="728"/>
      <c r="AI48" s="728"/>
      <c r="AJ48" s="728"/>
      <c r="AK48" s="1623" t="s">
        <v>526</v>
      </c>
      <c r="AM48" s="861"/>
      <c r="AN48" s="861" t="str">
        <f>IF(T48="","",T48)</f>
        <v>Добавить значение признака дифференциации</v>
      </c>
      <c r="AO48" s="861"/>
      <c r="AP48" s="861"/>
    </row>
    <row customHeight="1" ht="21">
      <c r="A49" s="1729" t="s">
        <v>230</v>
      </c>
      <c r="B49" s="1729" t="s">
        <v>231</v>
      </c>
      <c r="C49" s="1729" t="s">
        <v>232</v>
      </c>
      <c r="D49" s="1729" t="s">
        <v>534</v>
      </c>
      <c r="E49" s="2528"/>
      <c r="F49" s="2528"/>
      <c r="G49" s="2528"/>
      <c r="H49" s="2528"/>
      <c r="I49" s="2529"/>
      <c r="J49" s="1729"/>
      <c r="K49" s="1729"/>
      <c r="L49" s="1730"/>
      <c r="P49" s="2531"/>
      <c r="Q49" s="1720"/>
      <c r="R49" s="717"/>
      <c r="S49" s="1644"/>
      <c r="T49" s="726" t="s">
        <v>453</v>
      </c>
      <c r="U49" s="728"/>
      <c r="V49" s="728"/>
      <c r="W49" s="728"/>
      <c r="X49" s="728"/>
      <c r="Y49" s="728"/>
      <c r="Z49" s="728"/>
      <c r="AA49" s="728"/>
      <c r="AB49" s="727"/>
      <c r="AC49" s="728"/>
      <c r="AD49" s="728"/>
      <c r="AE49" s="728"/>
      <c r="AF49" s="728"/>
      <c r="AG49" s="728"/>
      <c r="AH49" s="728"/>
      <c r="AI49" s="727"/>
      <c r="AJ49" s="728"/>
      <c r="AK49" s="1806"/>
      <c r="AM49" s="861"/>
      <c r="AN49" s="861" t="str">
        <f>IF(T49="","",T49)</f>
        <v>Добавить группу потребителей</v>
      </c>
      <c r="AO49" s="861"/>
      <c r="AP49" s="861"/>
    </row>
    <row customHeight="1" ht="21">
      <c r="A50" s="1729" t="s">
        <v>230</v>
      </c>
      <c r="B50" s="1729" t="s">
        <v>231</v>
      </c>
      <c r="C50" s="1729" t="s">
        <v>232</v>
      </c>
      <c r="D50" s="1729" t="s">
        <v>534</v>
      </c>
      <c r="E50" s="2528"/>
      <c r="F50" s="2528"/>
      <c r="G50" s="2528"/>
      <c r="H50" s="2527"/>
      <c r="I50" s="1729"/>
      <c r="J50" s="1729"/>
      <c r="K50" s="1729"/>
      <c r="L50" s="1730"/>
      <c r="M50" s="1731"/>
      <c r="N50" s="1731"/>
      <c r="O50" s="898"/>
      <c r="P50" s="721"/>
      <c r="Q50" s="736"/>
      <c r="R50" s="716"/>
      <c r="S50" s="1644"/>
      <c r="T50" s="733" t="s">
        <v>527</v>
      </c>
      <c r="U50" s="728"/>
      <c r="V50" s="728"/>
      <c r="W50" s="728"/>
      <c r="X50" s="728"/>
      <c r="Y50" s="728"/>
      <c r="Z50" s="728"/>
      <c r="AA50" s="728"/>
      <c r="AB50" s="727"/>
      <c r="AC50" s="728"/>
      <c r="AD50" s="728"/>
      <c r="AE50" s="728"/>
      <c r="AF50" s="728"/>
      <c r="AG50" s="728"/>
      <c r="AH50" s="728"/>
      <c r="AI50" s="727"/>
      <c r="AJ50" s="728"/>
      <c r="AK50" s="664"/>
      <c r="AM50" s="861"/>
      <c r="AN50" s="861" t="str">
        <f>IF(T50="","",T50)</f>
        <v>Добавить наименование признака дифференциации</v>
      </c>
      <c r="AO50" s="861"/>
      <c r="AP50" s="861"/>
    </row>
    <row s="32198" customFormat="1" customHeight="1" ht="0">
      <c r="A51" s="1709" t="s">
        <v>230</v>
      </c>
      <c r="B51" s="1709" t="s">
        <v>231</v>
      </c>
      <c r="C51" s="1680"/>
      <c r="D51" s="1680"/>
      <c r="E51" s="2528"/>
      <c r="F51" s="2527"/>
      <c r="G51" s="1680"/>
      <c r="H51" s="1680"/>
      <c r="I51" s="1680"/>
      <c r="J51" s="1680"/>
      <c r="K51" s="1680"/>
      <c r="L51" s="1792"/>
      <c r="M51" s="1687"/>
      <c r="N51" s="1687"/>
      <c r="P51" s="1682"/>
      <c r="Q51" s="1683"/>
      <c r="R51" s="1682"/>
      <c r="S51" s="1688"/>
      <c r="T51" s="1691" t="s">
        <v>262</v>
      </c>
      <c r="U51" s="1690"/>
      <c r="V51" s="1690"/>
      <c r="W51" s="1690"/>
      <c r="X51" s="1690"/>
      <c r="Y51" s="1690"/>
      <c r="Z51" s="1690"/>
      <c r="AA51" s="1690"/>
      <c r="AB51" s="1690"/>
      <c r="AC51" s="1690"/>
      <c r="AD51" s="1690"/>
      <c r="AE51" s="1690"/>
      <c r="AF51" s="1690"/>
      <c r="AG51" s="1690"/>
      <c r="AH51" s="1690"/>
      <c r="AI51" s="1690"/>
      <c r="AJ51" s="1690"/>
      <c r="AK51" s="1690"/>
      <c r="AM51" s="1150"/>
      <c r="AN51" s="1150" t="str">
        <f>IF(T51="","",T51)</f>
        <v>Добавить централизованную систему для дифференциации</v>
      </c>
      <c r="AO51" s="1150"/>
      <c r="AP51" s="1150"/>
    </row>
    <row s="32289" customFormat="1" customHeight="1" ht="0">
      <c r="A52" s="1709" t="s">
        <v>230</v>
      </c>
      <c r="B52" s="1709"/>
      <c r="C52" s="1709"/>
      <c r="D52" s="1709"/>
      <c r="E52" s="2527"/>
      <c r="F52" s="1709"/>
      <c r="G52" s="1709"/>
      <c r="H52" s="1709"/>
      <c r="I52" s="1709"/>
      <c r="J52" s="1709"/>
      <c r="K52" s="1709"/>
      <c r="L52" s="1712"/>
      <c r="M52" s="1687"/>
      <c r="N52" s="1687"/>
      <c r="O52" s="879"/>
      <c r="P52" s="741"/>
      <c r="Q52" s="1710"/>
      <c r="R52" s="741"/>
      <c r="S52" s="1688"/>
      <c r="T52" s="1691" t="s">
        <v>270</v>
      </c>
      <c r="U52" s="1690"/>
      <c r="V52" s="1690"/>
      <c r="W52" s="1690"/>
      <c r="X52" s="1690"/>
      <c r="Y52" s="1690"/>
      <c r="Z52" s="1690"/>
      <c r="AA52" s="1690"/>
      <c r="AB52" s="1690"/>
      <c r="AC52" s="1690"/>
      <c r="AD52" s="1690"/>
      <c r="AE52" s="1690"/>
      <c r="AF52" s="1690"/>
      <c r="AG52" s="1690"/>
      <c r="AH52" s="1690"/>
      <c r="AI52" s="1690"/>
      <c r="AJ52" s="1690"/>
      <c r="AK52" s="1690"/>
      <c r="AM52" s="861"/>
      <c r="AN52" s="861" t="str">
        <f>IF(T52="","",T52)</f>
        <v>Добавить территорию для дифференциации</v>
      </c>
      <c r="AO52" s="861"/>
      <c r="AP52" s="861"/>
    </row>
    <row s="32198" customFormat="1" customHeight="1" ht="0">
      <c r="A53" s="1680"/>
      <c r="B53" s="1680"/>
      <c r="C53" s="1680"/>
      <c r="D53" s="1680"/>
      <c r="E53" s="1709"/>
      <c r="F53" s="1680"/>
      <c r="G53" s="1680"/>
      <c r="H53" s="1680"/>
      <c r="I53" s="1680"/>
      <c r="J53" s="1680"/>
      <c r="K53" s="1680"/>
      <c r="L53" s="1792"/>
      <c r="M53" s="1687"/>
      <c r="N53" s="1687"/>
      <c r="P53" s="1682"/>
      <c r="Q53" s="1683"/>
      <c r="R53" s="1682"/>
      <c r="S53" s="1688"/>
      <c r="T53" s="1691" t="s">
        <v>294</v>
      </c>
      <c r="U53" s="1690"/>
      <c r="V53" s="1690"/>
      <c r="W53" s="1690"/>
      <c r="X53" s="1690"/>
      <c r="Y53" s="1690"/>
      <c r="Z53" s="1690"/>
      <c r="AA53" s="1690"/>
      <c r="AB53" s="1690"/>
      <c r="AC53" s="1690"/>
      <c r="AD53" s="1690"/>
      <c r="AE53" s="1690"/>
      <c r="AF53" s="1690"/>
      <c r="AG53" s="1690"/>
      <c r="AH53" s="1690"/>
      <c r="AI53" s="1690"/>
      <c r="AJ53" s="1690"/>
      <c r="AK53" s="1690"/>
      <c r="AM53" s="1150"/>
      <c r="AN53" s="1150" t="str">
        <f>IF(T53="","",T53)</f>
        <v>Добавить наименование тарифа</v>
      </c>
      <c r="AO53" s="1150"/>
      <c r="AP53" s="1150"/>
    </row>
    <row customHeight="1" ht="11.25">
      <c r="M54" s="1523"/>
      <c r="N54" s="1523"/>
      <c r="O54" s="898"/>
      <c r="P54" s="1518"/>
      <c r="Q54" s="1518"/>
      <c r="R54" s="1518"/>
      <c r="S54" s="1518"/>
      <c r="AL54" s="1518"/>
      <c r="AM54" s="1518"/>
      <c r="AN54" s="1518"/>
      <c r="AO54" s="1518"/>
      <c r="AP54" s="1518"/>
    </row>
    <row customHeight="1" ht="14.25">
      <c r="O55" s="898"/>
      <c r="S55" s="1618"/>
      <c r="T55" s="2526"/>
      <c r="U55" s="2526"/>
      <c r="V55" s="2526"/>
      <c r="W55" s="2526"/>
      <c r="X55" s="2526"/>
      <c r="Y55" s="2526"/>
      <c r="Z55" s="2526"/>
      <c r="AA55" s="2526"/>
      <c r="AB55" s="2526"/>
      <c r="AC55" s="2526"/>
      <c r="AD55" s="2526"/>
      <c r="AE55" s="2526"/>
      <c r="AF55" s="2526"/>
      <c r="AG55" s="2526"/>
      <c r="AH55" s="2526"/>
      <c r="AI55" s="2526"/>
      <c r="AJ55" s="2526"/>
      <c r="AK55" s="2526"/>
    </row>
    <row customHeight="1" ht="14.25">
      <c r="O56" s="898"/>
    </row>
    <row customHeight="1" ht="14.25">
      <c r="O57" s="898"/>
      <c r="S57" s="1618"/>
      <c r="T57" s="2526"/>
      <c r="U57" s="2526"/>
      <c r="V57" s="2526"/>
      <c r="W57" s="2526"/>
      <c r="X57" s="2526"/>
      <c r="Y57" s="2526"/>
      <c r="Z57" s="2526"/>
      <c r="AA57" s="2526"/>
      <c r="AB57" s="2526"/>
      <c r="AC57" s="2526"/>
      <c r="AD57" s="2526"/>
      <c r="AE57" s="2526"/>
      <c r="AF57" s="2526"/>
      <c r="AG57" s="2526"/>
      <c r="AH57" s="2526"/>
      <c r="AI57" s="2526"/>
      <c r="AJ57" s="2526"/>
      <c r="AK57" s="2526"/>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F5AB4-3872-1709-A105-FAC816A40185}"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217" width="10.57421875" hidden="1"/>
    <col min="2" max="2" style="32217" width="11.00390625" hidden="1" customWidth="1"/>
    <col min="3" max="3" style="32217" width="10.57421875" hidden="1"/>
    <col min="4" max="4" style="32217" width="11.8515625" hidden="1" customWidth="1"/>
    <col min="5" max="5" style="32217" width="10.00390625" hidden="1" customWidth="1"/>
    <col min="6" max="6" style="32217" width="8.7109375" hidden="1" customWidth="1"/>
    <col min="7" max="7" style="32217" width="7.57421875" hidden="1" customWidth="1"/>
    <col min="8" max="8" style="32217" width="11.421875" hidden="1" customWidth="1"/>
    <col min="9" max="9" style="32217" width="14.140625" hidden="1" customWidth="1"/>
    <col min="10" max="10" style="32217" width="9.8515625" hidden="1" customWidth="1"/>
    <col min="11" max="11" style="32217" width="14.7109375" hidden="1" customWidth="1"/>
    <col min="12" max="12" style="32510" width="19.140625" hidden="1" customWidth="1"/>
    <col min="13" max="14" style="32298" width="12.28125" hidden="1" customWidth="1"/>
    <col min="15" max="15" style="32298" width="23.421875" hidden="1" customWidth="1"/>
    <col min="16" max="16" style="32511" width="3.7109375" customWidth="1"/>
    <col min="17" max="18" style="32300" width="3.7109375" customWidth="1"/>
    <col min="19" max="19" style="32301" width="12.7109375" customWidth="1"/>
    <col min="20" max="20" style="32302" width="35.7109375" customWidth="1"/>
    <col min="21" max="21" style="32302" width="0.140625" customWidth="1"/>
    <col min="22" max="24" style="32302" width="24.7109375" hidden="1" customWidth="1"/>
    <col min="25" max="25" style="32302" width="11.7109375" hidden="1" customWidth="1"/>
    <col min="26" max="26" style="32302" width="3.7109375" hidden="1" customWidth="1"/>
    <col min="27" max="27" style="32302" width="11.7109375" hidden="1" customWidth="1"/>
    <col min="28" max="28" style="32302" width="8.57421875" hidden="1" customWidth="1"/>
    <col min="29" max="31" style="32302" width="24.7109375" customWidth="1"/>
    <col min="32" max="32" style="32302" width="11.7109375" customWidth="1"/>
    <col min="33" max="33" style="32302" width="3.7109375" customWidth="1"/>
    <col min="34" max="34" style="32302" width="11.7109375" customWidth="1"/>
    <col min="35" max="35" style="32302" width="8.57421875" hidden="1" customWidth="1"/>
    <col min="36" max="36" style="32302" width="4.7109375" customWidth="1"/>
    <col min="37" max="37" style="32302" width="115.7109375" customWidth="1"/>
    <col min="38" max="39" style="32289" width="10.57421875"/>
    <col min="40" max="40" style="32289" width="11.140625" customWidth="1"/>
    <col min="41" max="42" style="32289" width="10.57421875"/>
  </cols>
  <sheetData>
    <row customHeight="1" ht="14.25" hidden="1">
      <c r="X1" s="688"/>
      <c r="Y1" s="688"/>
      <c r="AE1" s="688"/>
      <c r="AF1" s="688"/>
    </row>
    <row customHeight="1" ht="23.25" hidden="1">
      <c r="A2" s="1729"/>
      <c r="B2" s="1729"/>
      <c r="C2" s="1729"/>
      <c r="D2" s="1729"/>
      <c r="E2" s="2527">
        <v>1</v>
      </c>
      <c r="F2" s="1729"/>
      <c r="G2" s="1729"/>
      <c r="H2" s="1729"/>
      <c r="I2" s="1729"/>
      <c r="J2" s="1729"/>
      <c r="K2" s="1729"/>
      <c r="L2" s="1730"/>
      <c r="M2" s="1731"/>
      <c r="N2" s="1731"/>
      <c r="O2" s="1731"/>
      <c r="P2" s="722"/>
      <c r="Q2" s="721"/>
      <c r="R2" s="716"/>
      <c r="S2" s="1823">
        <f>INDEX(PT_DIFFERENTIATION_NUM_NTAR,MATCH(A2,PT_DIFFERENTIATION_NTAR_ID,0))</f>
      </c>
      <c r="T2" s="659" t="s">
        <v>131</v>
      </c>
      <c r="U2" s="661"/>
      <c r="V2" s="2521"/>
      <c r="W2" s="2522"/>
      <c r="X2" s="2522"/>
      <c r="Y2" s="2522"/>
      <c r="Z2" s="2522"/>
      <c r="AA2" s="2522"/>
      <c r="AB2" s="2523"/>
      <c r="AC2" s="2521">
        <f>INDEX(PT_DIFFERENTIATION_NTAR,MATCH(A2,PT_DIFFERENTIATION_NTAR_ID,0))</f>
      </c>
      <c r="AD2" s="2522"/>
      <c r="AE2" s="2522"/>
      <c r="AF2" s="2522"/>
      <c r="AG2" s="2522"/>
      <c r="AH2" s="2522"/>
      <c r="AI2" s="2522"/>
      <c r="AJ2" s="2523"/>
      <c r="AK2"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861"/>
      <c r="AN2" s="861" t="str">
        <f>IF(T2="","",T2)</f>
        <v>Наименование тарифа</v>
      </c>
      <c r="AO2" s="861"/>
      <c r="AP2" s="861"/>
    </row>
    <row customHeight="1" ht="23.25" hidden="1">
      <c r="A3" s="1729"/>
      <c r="B3" s="1729"/>
      <c r="C3" s="1729"/>
      <c r="D3" s="1729"/>
      <c r="E3" s="2528"/>
      <c r="F3" s="2527">
        <v>1</v>
      </c>
      <c r="G3" s="1729"/>
      <c r="H3" s="1729"/>
      <c r="I3" s="1729"/>
      <c r="J3" s="1729"/>
      <c r="K3" s="1729"/>
      <c r="L3" s="1730"/>
      <c r="M3" s="1731"/>
      <c r="N3" s="1731"/>
      <c r="O3" s="1731"/>
      <c r="P3" s="1819"/>
      <c r="Q3" s="713"/>
      <c r="R3" s="714"/>
      <c r="S3" s="1823">
        <f>INDEX(PT_DIFFERENTIATION_NUM_TER,MATCH(B3,PT_DIFFERENTIATION_TER_ID,0))</f>
      </c>
      <c r="T3" s="669" t="s">
        <v>438</v>
      </c>
      <c r="U3" s="661"/>
      <c r="V3" s="2521"/>
      <c r="W3" s="2522"/>
      <c r="X3" s="2522"/>
      <c r="Y3" s="2522"/>
      <c r="Z3" s="2522"/>
      <c r="AA3" s="2522"/>
      <c r="AB3" s="2523"/>
      <c r="AC3" s="2521">
        <f>INDEX(PT_DIFFERENTIATION_TER,MATCH(B3,PT_DIFFERENTIATION_TER_ID,0))</f>
      </c>
      <c r="AD3" s="2522"/>
      <c r="AE3" s="2522"/>
      <c r="AF3" s="2522"/>
      <c r="AG3" s="2522"/>
      <c r="AH3" s="2522"/>
      <c r="AI3" s="2522"/>
      <c r="AJ3" s="2523"/>
      <c r="AK3" s="1623" t="s">
        <v>439</v>
      </c>
      <c r="AM3" s="861"/>
      <c r="AN3" s="861" t="str">
        <f>IF(T3="","",T3)</f>
        <v>Территория действия тарифа</v>
      </c>
      <c r="AO3" s="861"/>
      <c r="AP3" s="861"/>
    </row>
    <row customHeight="1" ht="23.25" hidden="1">
      <c r="A4" s="1729"/>
      <c r="B4" s="1729"/>
      <c r="C4" s="1729"/>
      <c r="D4" s="1729"/>
      <c r="E4" s="2528"/>
      <c r="F4" s="2528"/>
      <c r="G4" s="2527">
        <v>1</v>
      </c>
      <c r="H4" s="1729"/>
      <c r="I4" s="1729"/>
      <c r="J4" s="1729"/>
      <c r="K4" s="1729"/>
      <c r="L4" s="1730"/>
      <c r="M4" s="1731"/>
      <c r="N4" s="1731"/>
      <c r="O4" s="1731"/>
      <c r="P4" s="715"/>
      <c r="Q4" s="713"/>
      <c r="R4" s="714"/>
      <c r="S4" s="1823">
        <f>INDEX(PT_DIFFERENTIATION_NUM_CS,MATCH(C4,PT_DIFFERENTIATION_CS_ID,0))</f>
      </c>
      <c r="T4" s="670" t="s">
        <v>520</v>
      </c>
      <c r="U4" s="661"/>
      <c r="V4" s="2521"/>
      <c r="W4" s="2522"/>
      <c r="X4" s="2522"/>
      <c r="Y4" s="2522"/>
      <c r="Z4" s="2522"/>
      <c r="AA4" s="2522"/>
      <c r="AB4" s="2523"/>
      <c r="AC4" s="2521">
        <f>INDEX(PT_DIFFERENTIATION_CS,MATCH(C4,PT_DIFFERENTIATION_CS_ID,0))</f>
      </c>
      <c r="AD4" s="2522"/>
      <c r="AE4" s="2522"/>
      <c r="AF4" s="2522"/>
      <c r="AG4" s="2522"/>
      <c r="AH4" s="2522"/>
      <c r="AI4" s="2522"/>
      <c r="AJ4" s="2523"/>
      <c r="AK4" s="1623" t="s">
        <v>521</v>
      </c>
      <c r="AM4" s="861"/>
      <c r="AN4" s="861" t="str">
        <f>IF(T4="","",T4)</f>
        <v>Наименование централизованной системы холодного водоснабжения</v>
      </c>
      <c r="AO4" s="861"/>
      <c r="AP4" s="861"/>
    </row>
    <row customHeight="1" ht="23.25" hidden="1">
      <c r="A5" s="1729"/>
      <c r="B5" s="1729"/>
      <c r="C5" s="1729"/>
      <c r="D5" s="1729"/>
      <c r="E5" s="2528"/>
      <c r="F5" s="2528"/>
      <c r="G5" s="2528"/>
      <c r="H5" s="2528"/>
      <c r="I5" s="2529">
        <f>S4&amp;".1"</f>
      </c>
      <c r="J5" s="1729"/>
      <c r="K5" s="1729"/>
      <c r="L5" s="1730"/>
      <c r="P5" s="2531">
        <v>1</v>
      </c>
      <c r="Q5" s="1816"/>
      <c r="R5" s="717"/>
      <c r="S5" s="1823">
        <f>$I5</f>
      </c>
      <c r="T5" s="646" t="s">
        <v>522</v>
      </c>
      <c r="U5" s="661"/>
      <c r="V5" s="2614"/>
      <c r="W5" s="2615"/>
      <c r="X5" s="2615"/>
      <c r="Y5" s="2615"/>
      <c r="Z5" s="2615"/>
      <c r="AA5" s="2615"/>
      <c r="AB5" s="2616"/>
      <c r="AC5" s="2617"/>
      <c r="AD5" s="2618"/>
      <c r="AE5" s="2618"/>
      <c r="AF5" s="2618"/>
      <c r="AG5" s="2618"/>
      <c r="AH5" s="2618"/>
      <c r="AI5" s="2618"/>
      <c r="AJ5" s="2619"/>
      <c r="AK5" s="1623" t="s">
        <v>523</v>
      </c>
      <c r="AM5" s="861"/>
      <c r="AN5" s="861" t="str">
        <f>IF(T5="","",T5)</f>
        <v>Наименование признака дифференциации</v>
      </c>
      <c r="AO5" s="861"/>
      <c r="AP5" s="861"/>
    </row>
    <row customHeight="1" ht="23.25" hidden="1">
      <c r="A6" s="1729"/>
      <c r="B6" s="1729"/>
      <c r="C6" s="1729"/>
      <c r="D6" s="1729"/>
      <c r="E6" s="2528"/>
      <c r="F6" s="2528"/>
      <c r="G6" s="2528"/>
      <c r="H6" s="2528"/>
      <c r="I6" s="2530"/>
      <c r="J6" s="2529">
        <f>I5&amp;".1"</f>
      </c>
      <c r="K6" s="1729"/>
      <c r="L6" s="1730" t="s">
        <v>447</v>
      </c>
      <c r="P6" s="2531"/>
      <c r="Q6" s="2531">
        <v>1</v>
      </c>
      <c r="R6" s="718"/>
      <c r="S6" s="1823">
        <f>$J6</f>
      </c>
      <c r="T6" s="647" t="s">
        <v>448</v>
      </c>
      <c r="U6" s="661"/>
      <c r="V6" s="2515"/>
      <c r="W6" s="2516"/>
      <c r="X6" s="2516"/>
      <c r="Y6" s="2516"/>
      <c r="Z6" s="2516"/>
      <c r="AA6" s="2516"/>
      <c r="AB6" s="2517"/>
      <c r="AC6" s="2515"/>
      <c r="AD6" s="2516"/>
      <c r="AE6" s="2516"/>
      <c r="AF6" s="2516"/>
      <c r="AG6" s="2516"/>
      <c r="AH6" s="2516"/>
      <c r="AI6" s="2516"/>
      <c r="AJ6" s="2517"/>
      <c r="AK6" s="1673" t="s">
        <v>524</v>
      </c>
      <c r="AM6" s="861"/>
      <c r="AN6" s="861" t="str">
        <f>IF(T6="","",T6)</f>
        <v>Группа потребителей</v>
      </c>
      <c r="AO6" s="861"/>
      <c r="AP6" s="861"/>
    </row>
    <row customHeight="1" ht="23.25" hidden="1">
      <c r="A7" s="1729"/>
      <c r="B7" s="1729"/>
      <c r="C7" s="1729"/>
      <c r="D7" s="1729"/>
      <c r="E7" s="2528"/>
      <c r="F7" s="2528"/>
      <c r="G7" s="2528"/>
      <c r="H7" s="2528"/>
      <c r="I7" s="2530"/>
      <c r="J7" s="2530"/>
      <c r="K7" s="2529">
        <f>J6&amp;".1"</f>
      </c>
      <c r="L7" s="1730"/>
      <c r="P7" s="2531"/>
      <c r="Q7" s="2531"/>
      <c r="R7" s="718">
        <v>1</v>
      </c>
      <c r="S7" s="1823">
        <f>$K7</f>
      </c>
      <c r="T7" s="1803"/>
      <c r="U7" s="661"/>
      <c r="V7" s="1112"/>
      <c r="W7" s="1112"/>
      <c r="X7" s="1622"/>
      <c r="Y7" s="2532"/>
      <c r="Z7" s="2402" t="s">
        <v>66</v>
      </c>
      <c r="AA7" s="2532"/>
      <c r="AB7" s="2402" t="s">
        <v>66</v>
      </c>
      <c r="AC7" s="1112"/>
      <c r="AD7" s="1112"/>
      <c r="AE7" s="1622"/>
      <c r="AF7" s="2532"/>
      <c r="AG7" s="2402" t="s">
        <v>66</v>
      </c>
      <c r="AH7" s="2534"/>
      <c r="AI7" s="2402" t="s">
        <v>66</v>
      </c>
      <c r="AJ7" s="1804"/>
      <c r="AK7" s="26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72">
        <f>STRCHECKDATE(V8:AJ8)</f>
      </c>
      <c r="AM7" s="861"/>
      <c r="AN7" s="861" t="str">
        <f>IF(T7="","",T7)</f>
        <v/>
      </c>
      <c r="AO7" s="861"/>
      <c r="AP7" s="861"/>
    </row>
    <row customHeight="1" ht="14.25" hidden="1">
      <c r="A8" s="1729"/>
      <c r="B8" s="1729"/>
      <c r="C8" s="1729"/>
      <c r="D8" s="1729"/>
      <c r="E8" s="2528"/>
      <c r="F8" s="2528"/>
      <c r="G8" s="2528"/>
      <c r="H8" s="2528"/>
      <c r="I8" s="2530"/>
      <c r="J8" s="2530"/>
      <c r="K8" s="2529"/>
      <c r="L8" s="1730"/>
      <c r="P8" s="2531"/>
      <c r="Q8" s="2531"/>
      <c r="R8" s="718"/>
      <c r="S8" s="1822"/>
      <c r="T8" s="661"/>
      <c r="U8" s="661"/>
      <c r="V8" s="686"/>
      <c r="W8" s="686"/>
      <c r="X8" s="689" t="str">
        <f>Y7&amp;"-"&amp;AA7</f>
        <v>-</v>
      </c>
      <c r="Y8" s="2533"/>
      <c r="Z8" s="2402"/>
      <c r="AA8" s="2533"/>
      <c r="AB8" s="2402"/>
      <c r="AC8" s="686"/>
      <c r="AD8" s="686"/>
      <c r="AE8" s="689" t="str">
        <f>AF7&amp;"-"&amp;AH7</f>
        <v>-</v>
      </c>
      <c r="AF8" s="2533"/>
      <c r="AG8" s="2402"/>
      <c r="AH8" s="2535"/>
      <c r="AI8" s="2402"/>
      <c r="AJ8" s="1805"/>
      <c r="AK8" s="2620"/>
      <c r="AM8" s="861"/>
      <c r="AN8" s="861" t="str">
        <f>IF(T8="","",T8)</f>
        <v/>
      </c>
      <c r="AO8" s="861"/>
      <c r="AP8" s="861"/>
    </row>
    <row customHeight="1" ht="21" hidden="1">
      <c r="A9" s="1729"/>
      <c r="B9" s="1729"/>
      <c r="C9" s="1729"/>
      <c r="D9" s="1729"/>
      <c r="E9" s="2528"/>
      <c r="F9" s="2528"/>
      <c r="G9" s="2528"/>
      <c r="H9" s="2528"/>
      <c r="I9" s="2530"/>
      <c r="J9" s="2529"/>
      <c r="K9" s="1729"/>
      <c r="L9" s="1730"/>
      <c r="P9" s="2531"/>
      <c r="Q9" s="2531"/>
      <c r="R9" s="717"/>
      <c r="S9" s="1644"/>
      <c r="T9" s="648" t="s">
        <v>525</v>
      </c>
      <c r="U9" s="728"/>
      <c r="V9" s="728"/>
      <c r="W9" s="728"/>
      <c r="X9" s="728"/>
      <c r="Y9" s="728"/>
      <c r="Z9" s="728"/>
      <c r="AA9" s="728"/>
      <c r="AB9" s="728"/>
      <c r="AC9" s="728"/>
      <c r="AD9" s="728"/>
      <c r="AE9" s="728"/>
      <c r="AF9" s="728"/>
      <c r="AG9" s="728"/>
      <c r="AH9" s="728"/>
      <c r="AI9" s="728"/>
      <c r="AJ9" s="728"/>
      <c r="AK9" s="1623" t="s">
        <v>526</v>
      </c>
      <c r="AM9" s="861"/>
      <c r="AN9" s="861" t="str">
        <f>IF(T9="","",T9)</f>
        <v>Добавить значение признака дифференциации</v>
      </c>
      <c r="AO9" s="861"/>
      <c r="AP9" s="861"/>
    </row>
    <row customHeight="1" ht="21" hidden="1">
      <c r="A10" s="1729"/>
      <c r="B10" s="1729"/>
      <c r="C10" s="1729"/>
      <c r="D10" s="1729"/>
      <c r="E10" s="2528"/>
      <c r="F10" s="2528"/>
      <c r="G10" s="2528"/>
      <c r="H10" s="2528"/>
      <c r="I10" s="2529"/>
      <c r="J10" s="1729"/>
      <c r="K10" s="1729"/>
      <c r="L10" s="1730"/>
      <c r="P10" s="2531"/>
      <c r="Q10" s="1816"/>
      <c r="R10" s="717"/>
      <c r="S10" s="1644"/>
      <c r="T10" s="726" t="s">
        <v>453</v>
      </c>
      <c r="U10" s="728"/>
      <c r="V10" s="728"/>
      <c r="W10" s="728"/>
      <c r="X10" s="728"/>
      <c r="Y10" s="728"/>
      <c r="Z10" s="728"/>
      <c r="AA10" s="728"/>
      <c r="AB10" s="727"/>
      <c r="AC10" s="728"/>
      <c r="AD10" s="728"/>
      <c r="AE10" s="728"/>
      <c r="AF10" s="728"/>
      <c r="AG10" s="728"/>
      <c r="AH10" s="728"/>
      <c r="AI10" s="727"/>
      <c r="AJ10" s="728"/>
      <c r="AK10" s="1806"/>
      <c r="AM10" s="861"/>
      <c r="AN10" s="861" t="str">
        <f>IF(T10="","",T10)</f>
        <v>Добавить группу потребителей</v>
      </c>
      <c r="AO10" s="861"/>
      <c r="AP10" s="861"/>
    </row>
    <row customHeight="1" ht="21" hidden="1">
      <c r="A11" s="1729"/>
      <c r="B11" s="1729"/>
      <c r="C11" s="1729"/>
      <c r="D11" s="1729"/>
      <c r="E11" s="2528"/>
      <c r="F11" s="2528"/>
      <c r="G11" s="2528"/>
      <c r="H11" s="2527"/>
      <c r="I11" s="1729"/>
      <c r="J11" s="1729"/>
      <c r="K11" s="1729"/>
      <c r="L11" s="1730"/>
      <c r="M11" s="1731"/>
      <c r="N11" s="1731"/>
      <c r="O11" s="898"/>
      <c r="P11" s="721"/>
      <c r="Q11" s="736"/>
      <c r="R11" s="716"/>
      <c r="S11" s="1644"/>
      <c r="T11" s="733" t="s">
        <v>527</v>
      </c>
      <c r="U11" s="728"/>
      <c r="V11" s="728"/>
      <c r="W11" s="728"/>
      <c r="X11" s="728"/>
      <c r="Y11" s="728"/>
      <c r="Z11" s="728"/>
      <c r="AA11" s="728"/>
      <c r="AB11" s="727"/>
      <c r="AC11" s="728"/>
      <c r="AD11" s="728"/>
      <c r="AE11" s="728"/>
      <c r="AF11" s="728"/>
      <c r="AG11" s="728"/>
      <c r="AH11" s="728"/>
      <c r="AI11" s="727"/>
      <c r="AJ11" s="728"/>
      <c r="AK11" s="664"/>
      <c r="AM11" s="861"/>
      <c r="AN11" s="861" t="str">
        <f>IF(T11="","",T11)</f>
        <v>Добавить наименование признака дифференциации</v>
      </c>
      <c r="AO11" s="861"/>
      <c r="AP11" s="861"/>
    </row>
    <row s="32198" customFormat="1" customHeight="1" ht="14.25" hidden="1">
      <c r="A12" s="1709"/>
      <c r="B12" s="1709"/>
      <c r="C12" s="1680"/>
      <c r="D12" s="1680"/>
      <c r="E12" s="2528"/>
      <c r="F12" s="2527"/>
      <c r="G12" s="1680"/>
      <c r="H12" s="1680"/>
      <c r="I12" s="1680"/>
      <c r="J12" s="1680"/>
      <c r="K12" s="1680"/>
      <c r="L12" s="1824"/>
      <c r="M12" s="1687"/>
      <c r="N12" s="1687"/>
      <c r="P12" s="1682"/>
      <c r="Q12" s="1683"/>
      <c r="R12" s="1682"/>
      <c r="S12" s="1688"/>
      <c r="T12" s="1691" t="s">
        <v>262</v>
      </c>
      <c r="U12" s="1690"/>
      <c r="V12" s="1690"/>
      <c r="W12" s="1690"/>
      <c r="X12" s="1690"/>
      <c r="Y12" s="1690"/>
      <c r="Z12" s="1690"/>
      <c r="AA12" s="1690"/>
      <c r="AB12" s="1690"/>
      <c r="AC12" s="1690"/>
      <c r="AD12" s="1690"/>
      <c r="AE12" s="1690"/>
      <c r="AF12" s="1690"/>
      <c r="AG12" s="1690"/>
      <c r="AH12" s="1690"/>
      <c r="AI12" s="1690"/>
      <c r="AJ12" s="1690"/>
      <c r="AK12" s="1690"/>
      <c r="AM12" s="1150"/>
      <c r="AN12" s="1150" t="str">
        <f>IF(T12="","",T12)</f>
        <v>Добавить централизованную систему для дифференциации</v>
      </c>
      <c r="AO12" s="1150"/>
      <c r="AP12" s="1150"/>
    </row>
    <row s="32289" customFormat="1" customHeight="1" ht="14.25" hidden="1">
      <c r="A13" s="1709"/>
      <c r="B13" s="1709"/>
      <c r="C13" s="1709"/>
      <c r="D13" s="1709"/>
      <c r="E13" s="2527"/>
      <c r="F13" s="1709"/>
      <c r="G13" s="1709"/>
      <c r="H13" s="1709"/>
      <c r="I13" s="1709"/>
      <c r="J13" s="1709"/>
      <c r="K13" s="1709"/>
      <c r="L13" s="1712"/>
      <c r="M13" s="1687"/>
      <c r="N13" s="1687"/>
      <c r="O13" s="879"/>
      <c r="P13" s="741"/>
      <c r="Q13" s="1710"/>
      <c r="R13" s="741"/>
      <c r="S13" s="1688"/>
      <c r="T13" s="1691" t="s">
        <v>270</v>
      </c>
      <c r="U13" s="1690"/>
      <c r="V13" s="1690"/>
      <c r="W13" s="1690"/>
      <c r="X13" s="1690"/>
      <c r="Y13" s="1690"/>
      <c r="Z13" s="1690"/>
      <c r="AA13" s="1690"/>
      <c r="AB13" s="1690"/>
      <c r="AC13" s="1690"/>
      <c r="AD13" s="1690"/>
      <c r="AE13" s="1690"/>
      <c r="AF13" s="1690"/>
      <c r="AG13" s="1690"/>
      <c r="AH13" s="1690"/>
      <c r="AI13" s="1690"/>
      <c r="AJ13" s="1690"/>
      <c r="AK13" s="1690"/>
      <c r="AM13" s="861"/>
      <c r="AN13" s="861" t="str">
        <f>IF(T13="","",T13)</f>
        <v>Добавить территорию для дифференциации</v>
      </c>
      <c r="AO13" s="861"/>
      <c r="AP13" s="861"/>
    </row>
    <row customHeight="1" ht="14.25" hidden="1">
      <c r="AB14" s="688"/>
      <c r="AI14" s="688"/>
    </row>
    <row customHeight="1" ht="14.25" hidden="1">
      <c r="AC15" s="1726"/>
      <c r="AD15" s="1726"/>
      <c r="AE15" s="1727"/>
      <c r="AF15" s="2525"/>
      <c r="AG15" s="2524" t="s">
        <v>66</v>
      </c>
      <c r="AH15" s="2525"/>
      <c r="AI15" s="2524" t="s">
        <v>66</v>
      </c>
    </row>
    <row customHeight="1" ht="14.25" hidden="1">
      <c r="AC16" s="1726"/>
      <c r="AD16" s="1726"/>
      <c r="AE16" s="689" t="str">
        <f>AF15&amp;"-"&amp;AH15</f>
        <v>-</v>
      </c>
      <c r="AF16" s="2524"/>
      <c r="AG16" s="2524"/>
      <c r="AH16" s="2524"/>
      <c r="AI16" s="2524"/>
    </row>
    <row customHeight="1" ht="14.25" hidden="1">
      <c r="AI17" s="688"/>
    </row>
    <row s="32217" customFormat="1" customHeight="1" ht="22.5" hidden="1">
      <c r="L18" s="1813"/>
      <c r="M18" s="1728"/>
      <c r="N18" s="1728"/>
      <c r="O18" s="1733" t="s">
        <v>456</v>
      </c>
      <c r="P18" s="1728"/>
      <c r="Q18" s="1737"/>
      <c r="R18" s="1737"/>
      <c r="S18" s="1090"/>
      <c r="Y18" s="1733"/>
      <c r="AA18" s="1733"/>
      <c r="AB18" s="1732"/>
      <c r="AF18" s="1733"/>
      <c r="AH18" s="1733"/>
      <c r="AI18" s="1732"/>
      <c r="AL18" s="872"/>
      <c r="AM18" s="872"/>
      <c r="AN18" s="872"/>
      <c r="AO18" s="872"/>
      <c r="AP18" s="872"/>
    </row>
    <row s="32217" customFormat="1" customHeight="1" ht="14.25" hidden="1">
      <c r="L19" s="1813"/>
      <c r="M19" s="1728"/>
      <c r="N19" s="1728"/>
      <c r="O19" s="1728"/>
      <c r="P19" s="1728"/>
      <c r="Q19" s="1737"/>
      <c r="R19" s="1737"/>
      <c r="S19" s="1090"/>
      <c r="AB19" s="1732"/>
      <c r="AI19" s="1732"/>
      <c r="AL19" s="872"/>
      <c r="AM19" s="872"/>
      <c r="AN19" s="872"/>
      <c r="AO19" s="872"/>
      <c r="AP19" s="872"/>
    </row>
    <row s="32217" customFormat="1" customHeight="1" ht="12" hidden="1">
      <c r="L20" s="1813"/>
      <c r="M20" s="1728"/>
      <c r="N20" s="1728"/>
      <c r="O20" s="1730" t="s">
        <v>457</v>
      </c>
      <c r="P20" s="1728"/>
      <c r="Q20" s="1808"/>
      <c r="R20" s="1808"/>
      <c r="S20" s="1090"/>
      <c r="T20" s="1523" t="s">
        <v>458</v>
      </c>
      <c r="Z20" s="547" t="s">
        <v>459</v>
      </c>
      <c r="AB20" s="547" t="s">
        <v>460</v>
      </c>
      <c r="AC20" s="1523" t="s">
        <v>458</v>
      </c>
      <c r="AG20" s="547" t="s">
        <v>461</v>
      </c>
      <c r="AI20" s="547" t="s">
        <v>460</v>
      </c>
    </row>
    <row customHeight="1" ht="14.25" hidden="1">
      <c r="O21" s="1730"/>
    </row>
    <row customHeight="1" ht="14.25" hidden="1">
      <c r="O22" s="1730"/>
    </row>
    <row customHeight="1" ht="14.25">
      <c r="Q23" s="737"/>
      <c r="R23" s="737"/>
      <c r="S23" s="1641"/>
      <c r="T23" s="724"/>
      <c r="U23" s="724"/>
      <c r="V23" s="870"/>
      <c r="W23" s="870"/>
      <c r="X23" s="870"/>
      <c r="Y23" s="870"/>
      <c r="Z23" s="870"/>
      <c r="AA23" s="870"/>
      <c r="AB23" s="870"/>
      <c r="AC23" s="870"/>
      <c r="AD23" s="870"/>
      <c r="AE23" s="870"/>
      <c r="AF23" s="870"/>
      <c r="AG23" s="870"/>
      <c r="AH23" s="870"/>
      <c r="AI23" s="870"/>
    </row>
    <row customHeight="1" ht="14.25">
      <c r="Q24" s="737"/>
      <c r="R24" s="737"/>
      <c r="S24" s="256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560"/>
      <c r="U24" s="2560"/>
      <c r="V24" s="2560"/>
      <c r="W24" s="2560"/>
      <c r="X24" s="2560"/>
      <c r="Y24" s="2560"/>
      <c r="Z24" s="2560"/>
      <c r="AA24" s="2560"/>
      <c r="AB24" s="2560"/>
      <c r="AC24" s="2560"/>
      <c r="AD24" s="2560"/>
      <c r="AE24" s="2560"/>
      <c r="AF24" s="2560"/>
      <c r="AG24" s="2560"/>
      <c r="AH24" s="2560"/>
      <c r="AI24" s="1608"/>
    </row>
    <row customHeight="1" ht="14.25">
      <c r="Q25" s="737"/>
      <c r="R25" s="737"/>
      <c r="S25" s="2561" t="str">
        <f>IF(org=0,"Не определено",org)</f>
        <v>АО "Мурманэнергосбыт"</v>
      </c>
      <c r="T25" s="2561"/>
      <c r="U25" s="2561"/>
      <c r="V25" s="2561"/>
      <c r="W25" s="2561"/>
      <c r="X25" s="2561"/>
      <c r="Y25" s="2561"/>
      <c r="Z25" s="2561"/>
      <c r="AA25" s="2561"/>
      <c r="AB25" s="2561"/>
      <c r="AC25" s="2561"/>
      <c r="AD25" s="2561"/>
      <c r="AE25" s="2561"/>
      <c r="AF25" s="2561"/>
      <c r="AG25" s="2561"/>
      <c r="AH25" s="2561"/>
      <c r="AI25" s="1608"/>
    </row>
    <row customHeight="1" ht="14.25">
      <c r="Q26" s="737"/>
      <c r="R26" s="737"/>
      <c r="S26" s="1641"/>
      <c r="T26" s="724"/>
      <c r="U26" s="724"/>
      <c r="V26" s="683"/>
      <c r="W26" s="683"/>
      <c r="X26" s="683"/>
      <c r="Y26" s="683"/>
      <c r="Z26" s="683"/>
      <c r="AA26" s="683"/>
      <c r="AB26" s="683"/>
      <c r="AC26" s="683"/>
      <c r="AD26" s="683"/>
      <c r="AE26" s="683"/>
      <c r="AF26" s="683"/>
      <c r="AG26" s="683"/>
      <c r="AH26" s="683"/>
      <c r="AI26" s="683"/>
      <c r="AJ26" s="870"/>
    </row>
    <row s="32230" customFormat="1" customHeight="1" ht="25.5">
      <c r="A27" s="1734"/>
      <c r="B27" s="1734"/>
      <c r="C27" s="1734"/>
      <c r="D27" s="1734"/>
      <c r="E27" s="1734"/>
      <c r="F27" s="1734"/>
      <c r="G27" s="1734"/>
      <c r="H27" s="1734"/>
      <c r="I27" s="1734"/>
      <c r="J27" s="1734"/>
      <c r="K27" s="1734"/>
      <c r="L27" s="1735"/>
      <c r="M27" s="1734"/>
      <c r="N27" s="1734"/>
      <c r="O27" s="1734"/>
      <c r="S27" s="2518" t="s">
        <v>38</v>
      </c>
      <c r="T27" s="2518"/>
      <c r="U27" s="1738"/>
      <c r="V27" s="2520" t="str">
        <f>IF(TITLE_NAME_OR_PR_CHANGE="",IF(TITLE_NAME_OR_PR="","",TITLE_NAME_OR_PR),TITLE_NAME_OR_PR_CHANGE)</f>
        <v>Комитет по тарифному регулированию Мурманской области</v>
      </c>
      <c r="W27" s="2520"/>
      <c r="X27" s="2520"/>
      <c r="Y27" s="2520"/>
      <c r="Z27" s="2520"/>
      <c r="AA27" s="2520"/>
      <c r="AB27" s="687"/>
      <c r="AC27" s="2520" t="str">
        <f>IF(TITLE_NAME_OR_PR_CHANGE="",IF(TITLE_NAME_OR_PR="","",TITLE_NAME_OR_PR),TITLE_NAME_OR_PR_CHANGE)</f>
        <v>Комитет по тарифному регулированию Мурманской области</v>
      </c>
      <c r="AD27" s="2520"/>
      <c r="AE27" s="2520"/>
      <c r="AF27" s="2520"/>
      <c r="AG27" s="2520"/>
      <c r="AH27" s="2520"/>
      <c r="AI27" s="687"/>
      <c r="AJ27" s="687"/>
      <c r="AK27" s="641"/>
      <c r="AL27" s="729"/>
      <c r="AM27" s="729"/>
      <c r="AN27" s="729"/>
      <c r="AO27" s="729"/>
      <c r="AP27" s="729"/>
    </row>
    <row s="32230" customFormat="1" customHeight="1" ht="18.75">
      <c r="A28" s="1734"/>
      <c r="B28" s="1734"/>
      <c r="C28" s="1734"/>
      <c r="D28" s="1734"/>
      <c r="E28" s="1734"/>
      <c r="F28" s="1734"/>
      <c r="G28" s="1734"/>
      <c r="H28" s="1734"/>
      <c r="I28" s="1734"/>
      <c r="J28" s="1734"/>
      <c r="K28" s="1734"/>
      <c r="L28" s="1735"/>
      <c r="M28" s="1734"/>
      <c r="N28" s="1734"/>
      <c r="O28" s="1734"/>
      <c r="S28" s="2518" t="s">
        <v>462</v>
      </c>
      <c r="T28" s="2518"/>
      <c r="U28" s="1738"/>
      <c r="V28" s="2519" t="str">
        <f>IF(TITLE_DATE_PR_CHANGE="",IF(TITLE_DATE_PR="","",TITLE_DATE_PR),TITLE_DATE_PR_CHANGE)</f>
        <v>45280</v>
      </c>
      <c r="W28" s="2519"/>
      <c r="X28" s="2519"/>
      <c r="Y28" s="2519"/>
      <c r="Z28" s="2519"/>
      <c r="AA28" s="2519"/>
      <c r="AB28" s="687"/>
      <c r="AC28" s="2519" t="str">
        <f>IF(TITLE_DATE_PR_CHANGE="",IF(TITLE_DATE_PR="","",TITLE_DATE_PR),TITLE_DATE_PR_CHANGE)</f>
        <v>45280</v>
      </c>
      <c r="AD28" s="2519"/>
      <c r="AE28" s="2519"/>
      <c r="AF28" s="2519"/>
      <c r="AG28" s="2519"/>
      <c r="AH28" s="2519"/>
      <c r="AI28" s="687"/>
      <c r="AJ28" s="687"/>
      <c r="AK28" s="641"/>
      <c r="AL28" s="729"/>
      <c r="AM28" s="729"/>
      <c r="AN28" s="729"/>
      <c r="AO28" s="729"/>
      <c r="AP28" s="729"/>
    </row>
    <row s="32230" customFormat="1" customHeight="1" ht="18.75">
      <c r="A29" s="1734"/>
      <c r="B29" s="1734"/>
      <c r="C29" s="1734"/>
      <c r="D29" s="1734"/>
      <c r="E29" s="1734"/>
      <c r="F29" s="1734"/>
      <c r="G29" s="1734"/>
      <c r="H29" s="1734"/>
      <c r="I29" s="1734"/>
      <c r="J29" s="1734"/>
      <c r="K29" s="1734"/>
      <c r="L29" s="1735"/>
      <c r="M29" s="1734"/>
      <c r="N29" s="1734"/>
      <c r="O29" s="1734"/>
      <c r="S29" s="2518" t="s">
        <v>463</v>
      </c>
      <c r="T29" s="2518"/>
      <c r="U29" s="1738"/>
      <c r="V29" s="2520" t="str">
        <f>IF(TITLE_NUMBER_PR_CHANGE="",IF(TITLE_NUMBER_PR="","",TITLE_NUMBER_PR),TITLE_NUMBER_PR_CHANGE)</f>
        <v>51/16</v>
      </c>
      <c r="W29" s="2520"/>
      <c r="X29" s="2520"/>
      <c r="Y29" s="2520"/>
      <c r="Z29" s="2520"/>
      <c r="AA29" s="2520"/>
      <c r="AB29" s="687"/>
      <c r="AC29" s="2520" t="str">
        <f>IF(TITLE_NUMBER_PR_CHANGE="",IF(TITLE_NUMBER_PR="","",TITLE_NUMBER_PR),TITLE_NUMBER_PR_CHANGE)</f>
        <v>51/16</v>
      </c>
      <c r="AD29" s="2520"/>
      <c r="AE29" s="2520"/>
      <c r="AF29" s="2520"/>
      <c r="AG29" s="2520"/>
      <c r="AH29" s="2520"/>
      <c r="AI29" s="687"/>
      <c r="AJ29" s="687"/>
      <c r="AK29" s="641"/>
      <c r="AL29" s="729"/>
      <c r="AM29" s="729"/>
      <c r="AN29" s="729"/>
      <c r="AO29" s="729"/>
      <c r="AP29" s="729"/>
    </row>
    <row s="32230" customFormat="1" customHeight="1" ht="18.75">
      <c r="A30" s="1734"/>
      <c r="B30" s="1734"/>
      <c r="C30" s="1734"/>
      <c r="D30" s="1734"/>
      <c r="E30" s="1734"/>
      <c r="F30" s="1734"/>
      <c r="G30" s="1734"/>
      <c r="H30" s="1734"/>
      <c r="I30" s="1734"/>
      <c r="J30" s="1734"/>
      <c r="K30" s="1734"/>
      <c r="L30" s="1735"/>
      <c r="M30" s="1734"/>
      <c r="N30" s="1734"/>
      <c r="O30" s="1734"/>
      <c r="S30" s="2518" t="s">
        <v>40</v>
      </c>
      <c r="T30" s="2518"/>
      <c r="U30" s="1738"/>
      <c r="V30" s="2520" t="str">
        <f>IF(TITLE_IST_PUB_CHANGE="",IF(TITLE_IST_PUB="","",TITLE_IST_PUB),TITLE_IST_PUB_CHANGE)</f>
        <v>https://npa.gov-murman.ru/bitrix/components/b1team/govmurman.element.file/download.php?ID=508455&amp;FID=750728</v>
      </c>
      <c r="W30" s="2520"/>
      <c r="X30" s="2520"/>
      <c r="Y30" s="2520"/>
      <c r="Z30" s="2520"/>
      <c r="AA30" s="2520"/>
      <c r="AB30" s="687"/>
      <c r="AC30" s="2520" t="str">
        <f>IF(TITLE_IST_PUB_CHANGE="",IF(TITLE_IST_PUB="","",TITLE_IST_PUB),TITLE_IST_PUB_CHANGE)</f>
        <v>https://npa.gov-murman.ru/bitrix/components/b1team/govmurman.element.file/download.php?ID=508455&amp;FID=750728</v>
      </c>
      <c r="AD30" s="2520"/>
      <c r="AE30" s="2520"/>
      <c r="AF30" s="2520"/>
      <c r="AG30" s="2520"/>
      <c r="AH30" s="2520"/>
      <c r="AI30" s="687"/>
      <c r="AJ30" s="687"/>
      <c r="AK30" s="641"/>
      <c r="AL30" s="729"/>
      <c r="AM30" s="729"/>
      <c r="AN30" s="729"/>
      <c r="AO30" s="729"/>
      <c r="AP30" s="729"/>
    </row>
    <row customHeight="1" ht="14.25" hidden="1">
      <c r="Q31" s="737"/>
      <c r="R31" s="737"/>
      <c r="S31" s="1641"/>
      <c r="T31" s="724"/>
      <c r="U31" s="724"/>
      <c r="V31" s="683"/>
      <c r="W31" s="683"/>
      <c r="X31" s="683"/>
      <c r="Y31" s="683"/>
      <c r="Z31" s="683"/>
      <c r="AA31" s="683"/>
      <c r="AB31" s="683"/>
      <c r="AC31" s="683"/>
      <c r="AD31" s="683"/>
      <c r="AE31" s="683"/>
      <c r="AF31" s="683"/>
      <c r="AG31" s="683"/>
      <c r="AH31" s="683"/>
      <c r="AI31" s="683"/>
      <c r="AJ31" s="870"/>
    </row>
    <row s="32230" customFormat="1" customHeight="1" ht="18.75" hidden="1">
      <c r="A32" s="1734"/>
      <c r="B32" s="1734"/>
      <c r="C32" s="1734"/>
      <c r="D32" s="1734"/>
      <c r="E32" s="1734"/>
      <c r="F32" s="1734"/>
      <c r="G32" s="1734"/>
      <c r="H32" s="1734"/>
      <c r="I32" s="1734"/>
      <c r="J32" s="1734"/>
      <c r="K32" s="1734"/>
      <c r="L32" s="1735"/>
      <c r="M32" s="1734"/>
      <c r="N32" s="1734"/>
      <c r="O32" s="1734"/>
      <c r="S32" s="2518" t="s">
        <v>464</v>
      </c>
      <c r="T32" s="2518"/>
      <c r="U32" s="1738"/>
      <c r="V32" s="2519" t="str">
        <f>IF(TITLE_DATE_PR_CHANGE="",IF(TITLE_DATE_PR="","",TITLE_DATE_PR),TITLE_DATE_PR_CHANGE)</f>
        <v>45280</v>
      </c>
      <c r="W32" s="2519"/>
      <c r="X32" s="2519"/>
      <c r="Y32" s="2519"/>
      <c r="Z32" s="2519"/>
      <c r="AA32" s="2519"/>
      <c r="AB32" s="687"/>
      <c r="AC32" s="2519" t="str">
        <f>IF(TITLE_DATE_PR_CHANGE="",IF(TITLE_DATE_PR="","",TITLE_DATE_PR),TITLE_DATE_PR_CHANGE)</f>
        <v>45280</v>
      </c>
      <c r="AD32" s="2519"/>
      <c r="AE32" s="2519"/>
      <c r="AF32" s="2519"/>
      <c r="AG32" s="2519"/>
      <c r="AH32" s="2519"/>
      <c r="AI32" s="687"/>
      <c r="AJ32" s="687"/>
      <c r="AK32" s="641"/>
      <c r="AL32" s="729"/>
      <c r="AM32" s="729"/>
      <c r="AN32" s="729"/>
      <c r="AO32" s="729"/>
      <c r="AP32" s="729"/>
    </row>
    <row s="32230" customFormat="1" customHeight="1" ht="18.75" hidden="1">
      <c r="A33" s="1734"/>
      <c r="B33" s="1734"/>
      <c r="C33" s="1734"/>
      <c r="D33" s="1734"/>
      <c r="E33" s="1734"/>
      <c r="F33" s="1734"/>
      <c r="G33" s="1734"/>
      <c r="H33" s="1734"/>
      <c r="I33" s="1734"/>
      <c r="J33" s="1734"/>
      <c r="K33" s="1734"/>
      <c r="L33" s="1735"/>
      <c r="M33" s="1734"/>
      <c r="N33" s="1734"/>
      <c r="O33" s="1734"/>
      <c r="S33" s="2518" t="s">
        <v>465</v>
      </c>
      <c r="T33" s="2518"/>
      <c r="U33" s="1738"/>
      <c r="V33" s="2520" t="str">
        <f>IF(TITLE_NUMBER_PR_CHANGE="",IF(TITLE_NUMBER_PR="","",TITLE_NUMBER_PR),TITLE_NUMBER_PR_CHANGE)</f>
        <v>51/16</v>
      </c>
      <c r="W33" s="2520"/>
      <c r="X33" s="2520"/>
      <c r="Y33" s="2520"/>
      <c r="Z33" s="2520"/>
      <c r="AA33" s="2520"/>
      <c r="AB33" s="687"/>
      <c r="AC33" s="2520" t="str">
        <f>IF(TITLE_NUMBER_PR_CHANGE="",IF(TITLE_NUMBER_PR="","",TITLE_NUMBER_PR),TITLE_NUMBER_PR_CHANGE)</f>
        <v>51/16</v>
      </c>
      <c r="AD33" s="2520"/>
      <c r="AE33" s="2520"/>
      <c r="AF33" s="2520"/>
      <c r="AG33" s="2520"/>
      <c r="AH33" s="2520"/>
      <c r="AI33" s="687"/>
      <c r="AJ33" s="687"/>
      <c r="AK33" s="641"/>
      <c r="AL33" s="729"/>
      <c r="AM33" s="729"/>
      <c r="AN33" s="729"/>
      <c r="AO33" s="729"/>
      <c r="AP33" s="729"/>
    </row>
    <row s="32230" customFormat="1" customHeight="1" ht="0.75">
      <c r="A34" s="1734"/>
      <c r="B34" s="1734"/>
      <c r="C34" s="1734"/>
      <c r="D34" s="1734"/>
      <c r="E34" s="1734"/>
      <c r="F34" s="1734"/>
      <c r="G34" s="1734"/>
      <c r="H34" s="1734"/>
      <c r="I34" s="1734"/>
      <c r="J34" s="1734"/>
      <c r="K34" s="1734"/>
      <c r="L34" s="1735"/>
      <c r="M34" s="1734"/>
      <c r="N34" s="1734"/>
      <c r="O34" s="1734"/>
      <c r="S34" s="684"/>
      <c r="T34" s="684"/>
      <c r="U34" s="1820"/>
      <c r="V34" s="687"/>
      <c r="W34" s="687"/>
      <c r="X34" s="687"/>
      <c r="Y34" s="687"/>
      <c r="Z34" s="687"/>
      <c r="AA34" s="687"/>
      <c r="AB34" s="639" t="s">
        <v>466</v>
      </c>
      <c r="AC34" s="687"/>
      <c r="AD34" s="687"/>
      <c r="AE34" s="687"/>
      <c r="AF34" s="687"/>
      <c r="AG34" s="687"/>
      <c r="AH34" s="687"/>
      <c r="AI34" s="639" t="s">
        <v>466</v>
      </c>
      <c r="AL34" s="729"/>
      <c r="AM34" s="729"/>
      <c r="AN34" s="729"/>
      <c r="AO34" s="729"/>
      <c r="AP34" s="729"/>
    </row>
    <row customHeight="1" ht="14.25">
      <c r="Q35" s="737"/>
      <c r="R35" s="737"/>
      <c r="S35" s="1641"/>
      <c r="T35" s="724"/>
      <c r="U35" s="1609"/>
      <c r="V35" s="2544"/>
      <c r="W35" s="2544"/>
      <c r="X35" s="2544"/>
      <c r="Y35" s="2544"/>
      <c r="Z35" s="2544"/>
      <c r="AA35" s="2544"/>
      <c r="AB35" s="2544"/>
      <c r="AC35" s="2544"/>
      <c r="AD35" s="2544"/>
      <c r="AE35" s="2544"/>
      <c r="AF35" s="2544"/>
      <c r="AG35" s="2544"/>
      <c r="AH35" s="2544"/>
      <c r="AI35" s="2544"/>
    </row>
    <row customHeight="1" ht="14.25">
      <c r="Q36" s="737"/>
      <c r="R36" s="737"/>
      <c r="S36" s="2392" t="s">
        <v>341</v>
      </c>
      <c r="T36" s="2392"/>
      <c r="U36" s="2392"/>
      <c r="V36" s="2392"/>
      <c r="W36" s="2392"/>
      <c r="X36" s="2392"/>
      <c r="Y36" s="2392"/>
      <c r="Z36" s="2392"/>
      <c r="AA36" s="2392"/>
      <c r="AB36" s="2392"/>
      <c r="AC36" s="2392"/>
      <c r="AD36" s="2392"/>
      <c r="AE36" s="2392"/>
      <c r="AF36" s="2392"/>
      <c r="AG36" s="2392"/>
      <c r="AH36" s="2392"/>
      <c r="AI36" s="2392"/>
      <c r="AJ36" s="2392"/>
      <c r="AK36" s="2392" t="s">
        <v>342</v>
      </c>
    </row>
    <row customHeight="1" ht="14.25">
      <c r="Q37" s="737"/>
      <c r="R37" s="737"/>
      <c r="S37" s="2545" t="s">
        <v>87</v>
      </c>
      <c r="T37" s="2482" t="s">
        <v>467</v>
      </c>
      <c r="U37" s="662"/>
      <c r="V37" s="2546" t="s">
        <v>468</v>
      </c>
      <c r="W37" s="2547"/>
      <c r="X37" s="2547"/>
      <c r="Y37" s="2547"/>
      <c r="Z37" s="2547"/>
      <c r="AA37" s="2548"/>
      <c r="AB37" s="2549" t="s">
        <v>469</v>
      </c>
      <c r="AC37" s="2546" t="s">
        <v>468</v>
      </c>
      <c r="AD37" s="2547"/>
      <c r="AE37" s="2547"/>
      <c r="AF37" s="2547"/>
      <c r="AG37" s="2547"/>
      <c r="AH37" s="2548"/>
      <c r="AI37" s="2549" t="s">
        <v>470</v>
      </c>
      <c r="AJ37" s="2552" t="s">
        <v>471</v>
      </c>
      <c r="AK37" s="2392"/>
    </row>
    <row customHeight="1" ht="33.75">
      <c r="Q38" s="737"/>
      <c r="R38" s="737"/>
      <c r="S38" s="2545"/>
      <c r="T38" s="2482"/>
      <c r="U38" s="1393"/>
      <c r="V38" s="1818" t="s">
        <v>528</v>
      </c>
      <c r="W38" s="2538" t="s">
        <v>474</v>
      </c>
      <c r="X38" s="2540"/>
      <c r="Y38" s="2538" t="s">
        <v>475</v>
      </c>
      <c r="Z38" s="2539"/>
      <c r="AA38" s="2540"/>
      <c r="AB38" s="2550"/>
      <c r="AC38" s="1818" t="s">
        <v>528</v>
      </c>
      <c r="AD38" s="2538" t="s">
        <v>474</v>
      </c>
      <c r="AE38" s="2540"/>
      <c r="AF38" s="2538" t="s">
        <v>475</v>
      </c>
      <c r="AG38" s="2539"/>
      <c r="AH38" s="2540"/>
      <c r="AI38" s="2550"/>
      <c r="AJ38" s="2553"/>
      <c r="AK38" s="2392"/>
    </row>
    <row customHeight="1" ht="33.75">
      <c r="A39" s="1736"/>
      <c r="B39" s="1736" t="s">
        <v>143</v>
      </c>
      <c r="C39" s="1736" t="s">
        <v>144</v>
      </c>
      <c r="D39" s="1736" t="s">
        <v>145</v>
      </c>
      <c r="E39" s="1730" t="s">
        <v>476</v>
      </c>
      <c r="F39" s="1730" t="s">
        <v>477</v>
      </c>
      <c r="G39" s="1730" t="s">
        <v>478</v>
      </c>
      <c r="H39" s="1730"/>
      <c r="I39" s="1730" t="s">
        <v>529</v>
      </c>
      <c r="J39" s="1730" t="s">
        <v>481</v>
      </c>
      <c r="K39" s="1730" t="s">
        <v>530</v>
      </c>
      <c r="L39" s="1730" t="s">
        <v>457</v>
      </c>
      <c r="Q39" s="737"/>
      <c r="R39" s="737"/>
      <c r="S39" s="2545"/>
      <c r="T39" s="2482"/>
      <c r="U39" s="663"/>
      <c r="V39" s="1818" t="s">
        <v>531</v>
      </c>
      <c r="W39" s="1587" t="s">
        <v>532</v>
      </c>
      <c r="X39" s="1587" t="s">
        <v>533</v>
      </c>
      <c r="Y39" s="1821" t="s">
        <v>485</v>
      </c>
      <c r="Z39" s="2541" t="s">
        <v>486</v>
      </c>
      <c r="AA39" s="2542"/>
      <c r="AB39" s="2551"/>
      <c r="AC39" s="1818" t="s">
        <v>531</v>
      </c>
      <c r="AD39" s="1587" t="s">
        <v>532</v>
      </c>
      <c r="AE39" s="1587" t="s">
        <v>533</v>
      </c>
      <c r="AF39" s="1821" t="s">
        <v>485</v>
      </c>
      <c r="AG39" s="2541" t="s">
        <v>486</v>
      </c>
      <c r="AH39" s="2542"/>
      <c r="AI39" s="2551"/>
      <c r="AJ39" s="2554"/>
      <c r="AK39" s="2392"/>
    </row>
    <row s="32049" customFormat="1" customHeight="1" ht="0">
      <c r="A40" s="1736"/>
      <c r="B40" s="1736"/>
      <c r="C40" s="1736"/>
      <c r="D40" s="1736"/>
      <c r="E40" s="1736"/>
      <c r="F40" s="1736"/>
      <c r="G40" s="1736"/>
      <c r="H40" s="1736"/>
      <c r="I40" s="1736"/>
      <c r="J40" s="1736"/>
      <c r="K40" s="1736"/>
      <c r="L40" s="1730"/>
      <c r="M40" s="1728"/>
      <c r="N40" s="1728"/>
      <c r="O40" s="1728"/>
      <c r="P40" s="1611"/>
      <c r="Q40" s="1612"/>
      <c r="R40" s="1619">
        <v>1</v>
      </c>
      <c r="S40" s="1643" t="s">
        <v>118</v>
      </c>
      <c r="T40" s="1620" t="s">
        <v>102</v>
      </c>
      <c r="U40" s="1610" t="str">
        <f>OFFSET(U40,0,-1)</f>
        <v>2</v>
      </c>
      <c r="V40" s="1817">
        <f>OFFSET(V40,0,-1)+1</f>
        <v>3</v>
      </c>
      <c r="W40" s="1817">
        <f>OFFSET(W40,0,-1)+1</f>
        <v>4</v>
      </c>
      <c r="X40" s="1817">
        <f>OFFSET(X40,0,-1)+1</f>
        <v>5</v>
      </c>
      <c r="Y40" s="1817">
        <f>OFFSET(Y40,0,-1)+1</f>
        <v>6</v>
      </c>
      <c r="Z40" s="2543">
        <f>OFFSET(Z40,0,-1)+1</f>
        <v>7</v>
      </c>
      <c r="AA40" s="2543"/>
      <c r="AB40" s="1817">
        <f>OFFSET(AB40,0,-2)+1</f>
        <v>8</v>
      </c>
      <c r="AC40" s="1817">
        <f>OFFSET(AC40,0,-1)+1</f>
        <v>9</v>
      </c>
      <c r="AD40" s="1817">
        <f>OFFSET(AD40,0,-1)+1</f>
        <v>10</v>
      </c>
      <c r="AE40" s="1817">
        <f>OFFSET(AE40,0,-1)+1</f>
        <v>11</v>
      </c>
      <c r="AF40" s="1817">
        <f>OFFSET(AF40,0,-1)+1</f>
        <v>12</v>
      </c>
      <c r="AG40" s="2543">
        <f>OFFSET(AG40,0,-1)+1</f>
        <v>13</v>
      </c>
      <c r="AH40" s="2543"/>
      <c r="AI40" s="1817">
        <f>OFFSET(AI40,0,-2)+1</f>
        <v>14</v>
      </c>
      <c r="AJ40" s="1610">
        <f>OFFSET(AJ40,0,-1)</f>
        <v>14</v>
      </c>
      <c r="AK40" s="1817">
        <f>OFFSET(AK40,0,-1)+1</f>
        <v>15</v>
      </c>
      <c r="AL40" s="872"/>
      <c r="AM40" s="872"/>
      <c r="AN40" s="872"/>
      <c r="AO40" s="872"/>
      <c r="AP40" s="872"/>
    </row>
    <row customHeight="1" ht="23.25">
      <c r="A41" s="1729" t="s">
        <v>235</v>
      </c>
      <c r="B41" s="1729"/>
      <c r="C41" s="1729"/>
      <c r="D41" s="1729"/>
      <c r="E41" s="2527">
        <v>1</v>
      </c>
      <c r="F41" s="1729"/>
      <c r="G41" s="1729"/>
      <c r="H41" s="1729"/>
      <c r="I41" s="1729"/>
      <c r="J41" s="1729"/>
      <c r="K41" s="1729"/>
      <c r="L41" s="1730"/>
      <c r="M41" s="1731"/>
      <c r="N41" s="1731"/>
      <c r="O41" s="1731"/>
      <c r="P41" s="722"/>
      <c r="Q41" s="721"/>
      <c r="R41" s="716"/>
      <c r="S41" s="1823">
        <f>INDEX(PT_DIFFERENTIATION_NUM_NTAR,MATCH(A41,PT_DIFFERENTIATION_NTAR_ID,0))</f>
        <v>0</v>
      </c>
      <c r="T41" s="659" t="s">
        <v>131</v>
      </c>
      <c r="U41" s="661"/>
      <c r="V41" s="2521"/>
      <c r="W41" s="2522"/>
      <c r="X41" s="2522"/>
      <c r="Y41" s="2522"/>
      <c r="Z41" s="2522"/>
      <c r="AA41" s="2522"/>
      <c r="AB41" s="2523"/>
      <c r="AC41" s="2521" t="str">
        <f>INDEX(PT_DIFFERENTIATION_NTAR,MATCH(A41,PT_DIFFERENTIATION_NTAR_ID,0))</f>
        <v/>
      </c>
      <c r="AD41" s="2522"/>
      <c r="AE41" s="2522"/>
      <c r="AF41" s="2522"/>
      <c r="AG41" s="2522"/>
      <c r="AH41" s="2522"/>
      <c r="AI41" s="2522"/>
      <c r="AJ41" s="2523"/>
      <c r="AK41"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861"/>
      <c r="AN41" s="861" t="str">
        <f>IF(T41="","",T41)</f>
        <v>Наименование тарифа</v>
      </c>
      <c r="AO41" s="861"/>
      <c r="AP41" s="861"/>
    </row>
    <row customHeight="1" ht="23.25">
      <c r="A42" s="1729" t="s">
        <v>235</v>
      </c>
      <c r="B42" s="1729" t="s">
        <v>236</v>
      </c>
      <c r="C42" s="1729"/>
      <c r="D42" s="1729"/>
      <c r="E42" s="2528"/>
      <c r="F42" s="2527">
        <v>1</v>
      </c>
      <c r="G42" s="1729"/>
      <c r="H42" s="1729"/>
      <c r="I42" s="1729"/>
      <c r="J42" s="1729"/>
      <c r="K42" s="1729"/>
      <c r="L42" s="1730"/>
      <c r="M42" s="1731"/>
      <c r="N42" s="1731"/>
      <c r="O42" s="1731"/>
      <c r="P42" s="1819"/>
      <c r="Q42" s="713"/>
      <c r="R42" s="714"/>
      <c r="S42" s="1823" t="str">
        <f>INDEX(PT_DIFFERENTIATION_NUM_TER,MATCH(B42,PT_DIFFERENTIATION_TER_ID,0))</f>
        <v>.</v>
      </c>
      <c r="T42" s="669" t="s">
        <v>438</v>
      </c>
      <c r="U42" s="661"/>
      <c r="V42" s="2521"/>
      <c r="W42" s="2522"/>
      <c r="X42" s="2522"/>
      <c r="Y42" s="2522"/>
      <c r="Z42" s="2522"/>
      <c r="AA42" s="2522"/>
      <c r="AB42" s="2523"/>
      <c r="AC42" s="2521" t="str">
        <f>INDEX(PT_DIFFERENTIATION_TER,MATCH(B42,PT_DIFFERENTIATION_TER_ID,0))</f>
        <v/>
      </c>
      <c r="AD42" s="2522"/>
      <c r="AE42" s="2522"/>
      <c r="AF42" s="2522"/>
      <c r="AG42" s="2522"/>
      <c r="AH42" s="2522"/>
      <c r="AI42" s="2522"/>
      <c r="AJ42" s="2523"/>
      <c r="AK42" s="1623" t="s">
        <v>439</v>
      </c>
      <c r="AM42" s="861"/>
      <c r="AN42" s="861" t="str">
        <f>IF(T42="","",T42)</f>
        <v>Территория действия тарифа</v>
      </c>
      <c r="AO42" s="861"/>
      <c r="AP42" s="861"/>
    </row>
    <row customHeight="1" ht="23.25">
      <c r="A43" s="1729" t="s">
        <v>235</v>
      </c>
      <c r="B43" s="1729" t="s">
        <v>236</v>
      </c>
      <c r="C43" s="1729" t="s">
        <v>237</v>
      </c>
      <c r="D43" s="1729"/>
      <c r="E43" s="2528"/>
      <c r="F43" s="2528"/>
      <c r="G43" s="2527">
        <v>1</v>
      </c>
      <c r="H43" s="1729"/>
      <c r="I43" s="1729"/>
      <c r="J43" s="1729"/>
      <c r="K43" s="1729"/>
      <c r="L43" s="1730"/>
      <c r="M43" s="1731"/>
      <c r="N43" s="1731"/>
      <c r="O43" s="1731"/>
      <c r="P43" s="715"/>
      <c r="Q43" s="713"/>
      <c r="R43" s="714"/>
      <c r="S43" s="1823" t="str">
        <f>INDEX(PT_DIFFERENTIATION_NUM_CS,MATCH(C43,PT_DIFFERENTIATION_CS_ID,0))</f>
        <v>..</v>
      </c>
      <c r="T43" s="670" t="s">
        <v>520</v>
      </c>
      <c r="U43" s="661"/>
      <c r="V43" s="2521"/>
      <c r="W43" s="2522"/>
      <c r="X43" s="2522"/>
      <c r="Y43" s="2522"/>
      <c r="Z43" s="2522"/>
      <c r="AA43" s="2522"/>
      <c r="AB43" s="2523"/>
      <c r="AC43" s="2521" t="str">
        <f>INDEX(PT_DIFFERENTIATION_CS,MATCH(C43,PT_DIFFERENTIATION_CS_ID,0))</f>
        <v/>
      </c>
      <c r="AD43" s="2522"/>
      <c r="AE43" s="2522"/>
      <c r="AF43" s="2522"/>
      <c r="AG43" s="2522"/>
      <c r="AH43" s="2522"/>
      <c r="AI43" s="2522"/>
      <c r="AJ43" s="2523"/>
      <c r="AK43" s="1623" t="s">
        <v>521</v>
      </c>
      <c r="AM43" s="861"/>
      <c r="AN43" s="861" t="str">
        <f>IF(T43="","",T43)</f>
        <v>Наименование централизованной системы холодного водоснабжения</v>
      </c>
      <c r="AO43" s="861"/>
      <c r="AP43" s="861"/>
    </row>
    <row customHeight="1" ht="23.25">
      <c r="A44" s="1729" t="s">
        <v>235</v>
      </c>
      <c r="B44" s="1729" t="s">
        <v>236</v>
      </c>
      <c r="C44" s="1729" t="s">
        <v>237</v>
      </c>
      <c r="D44" s="1729" t="s">
        <v>535</v>
      </c>
      <c r="E44" s="2528"/>
      <c r="F44" s="2528"/>
      <c r="G44" s="2528"/>
      <c r="H44" s="2528"/>
      <c r="I44" s="2529" t="str">
        <f>S43&amp;".1"</f>
        <v>...1</v>
      </c>
      <c r="J44" s="1729"/>
      <c r="K44" s="1729"/>
      <c r="L44" s="1730"/>
      <c r="P44" s="2531">
        <v>1</v>
      </c>
      <c r="Q44" s="1816"/>
      <c r="R44" s="717"/>
      <c r="S44" s="1823" t="str">
        <f>$I44</f>
        <v>...1</v>
      </c>
      <c r="T44" s="646" t="s">
        <v>522</v>
      </c>
      <c r="U44" s="661"/>
      <c r="V44" s="2614"/>
      <c r="W44" s="2615"/>
      <c r="X44" s="2615"/>
      <c r="Y44" s="2615"/>
      <c r="Z44" s="2615"/>
      <c r="AA44" s="2615"/>
      <c r="AB44" s="2616"/>
      <c r="AC44" s="2617"/>
      <c r="AD44" s="2618"/>
      <c r="AE44" s="2618"/>
      <c r="AF44" s="2618"/>
      <c r="AG44" s="2618"/>
      <c r="AH44" s="2618"/>
      <c r="AI44" s="2618"/>
      <c r="AJ44" s="2619"/>
      <c r="AK44" s="1623" t="s">
        <v>523</v>
      </c>
      <c r="AM44" s="861"/>
      <c r="AN44" s="861" t="str">
        <f>IF(T44="","",T44)</f>
        <v>Наименование признака дифференциации</v>
      </c>
      <c r="AO44" s="861"/>
      <c r="AP44" s="861"/>
    </row>
    <row customHeight="1" ht="23.25">
      <c r="A45" s="1729" t="s">
        <v>235</v>
      </c>
      <c r="B45" s="1729" t="s">
        <v>236</v>
      </c>
      <c r="C45" s="1729" t="s">
        <v>237</v>
      </c>
      <c r="D45" s="1729" t="s">
        <v>535</v>
      </c>
      <c r="E45" s="2528"/>
      <c r="F45" s="2528"/>
      <c r="G45" s="2528"/>
      <c r="H45" s="2528"/>
      <c r="I45" s="2530"/>
      <c r="J45" s="2529" t="str">
        <f>I44&amp;".1"</f>
        <v>...1.1</v>
      </c>
      <c r="K45" s="1729"/>
      <c r="L45" s="1730" t="s">
        <v>447</v>
      </c>
      <c r="P45" s="2531"/>
      <c r="Q45" s="2531">
        <v>1</v>
      </c>
      <c r="R45" s="718"/>
      <c r="S45" s="1823" t="str">
        <f>$J45</f>
        <v>...1.1</v>
      </c>
      <c r="T45" s="647" t="s">
        <v>448</v>
      </c>
      <c r="U45" s="661"/>
      <c r="V45" s="2515"/>
      <c r="W45" s="2516"/>
      <c r="X45" s="2516"/>
      <c r="Y45" s="2516"/>
      <c r="Z45" s="2516"/>
      <c r="AA45" s="2516"/>
      <c r="AB45" s="2517"/>
      <c r="AC45" s="2515"/>
      <c r="AD45" s="2516"/>
      <c r="AE45" s="2516"/>
      <c r="AF45" s="2516"/>
      <c r="AG45" s="2516"/>
      <c r="AH45" s="2516"/>
      <c r="AI45" s="2516"/>
      <c r="AJ45" s="2517"/>
      <c r="AK45" s="1673" t="s">
        <v>524</v>
      </c>
      <c r="AM45" s="861"/>
      <c r="AN45" s="861" t="str">
        <f>IF(T45="","",T45)</f>
        <v>Группа потребителей</v>
      </c>
      <c r="AO45" s="861"/>
      <c r="AP45" s="861"/>
    </row>
    <row customHeight="1" ht="23.25">
      <c r="A46" s="1729" t="s">
        <v>235</v>
      </c>
      <c r="B46" s="1729" t="s">
        <v>236</v>
      </c>
      <c r="C46" s="1729" t="s">
        <v>237</v>
      </c>
      <c r="D46" s="1729" t="s">
        <v>535</v>
      </c>
      <c r="E46" s="2528"/>
      <c r="F46" s="2528"/>
      <c r="G46" s="2528"/>
      <c r="H46" s="2528"/>
      <c r="I46" s="2530"/>
      <c r="J46" s="2530"/>
      <c r="K46" s="2529" t="str">
        <f>J45&amp;".1"</f>
        <v>...1.1.1</v>
      </c>
      <c r="L46" s="1730"/>
      <c r="P46" s="2531"/>
      <c r="Q46" s="2531"/>
      <c r="R46" s="718">
        <v>1</v>
      </c>
      <c r="S46" s="1823" t="str">
        <f>$K46</f>
        <v>...1.1.1</v>
      </c>
      <c r="T46" s="1803"/>
      <c r="U46" s="661"/>
      <c r="V46" s="1112"/>
      <c r="W46" s="1112"/>
      <c r="X46" s="1622"/>
      <c r="Y46" s="2532"/>
      <c r="Z46" s="2402" t="s">
        <v>66</v>
      </c>
      <c r="AA46" s="2532"/>
      <c r="AB46" s="2402" t="s">
        <v>66</v>
      </c>
      <c r="AC46" s="1112"/>
      <c r="AD46" s="1112"/>
      <c r="AE46" s="1622"/>
      <c r="AF46" s="2532"/>
      <c r="AG46" s="2402" t="s">
        <v>66</v>
      </c>
      <c r="AH46" s="2534"/>
      <c r="AI46" s="2402" t="s">
        <v>66</v>
      </c>
      <c r="AJ46" s="1804"/>
      <c r="AK46" s="26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72">
        <f>STRCHECKDATE(V47:AJ47)</f>
      </c>
      <c r="AM46" s="861"/>
      <c r="AN46" s="861" t="str">
        <f>IF(T46="","",T46)</f>
        <v/>
      </c>
      <c r="AO46" s="861"/>
      <c r="AP46" s="861"/>
    </row>
    <row customHeight="1" ht="0">
      <c r="A47" s="1729" t="s">
        <v>235</v>
      </c>
      <c r="B47" s="1729" t="s">
        <v>236</v>
      </c>
      <c r="C47" s="1729" t="s">
        <v>237</v>
      </c>
      <c r="D47" s="1729" t="s">
        <v>535</v>
      </c>
      <c r="E47" s="2528"/>
      <c r="F47" s="2528"/>
      <c r="G47" s="2528"/>
      <c r="H47" s="2528"/>
      <c r="I47" s="2530"/>
      <c r="J47" s="2530"/>
      <c r="K47" s="2529"/>
      <c r="L47" s="1730"/>
      <c r="P47" s="2531"/>
      <c r="Q47" s="2531"/>
      <c r="R47" s="718"/>
      <c r="S47" s="1822"/>
      <c r="T47" s="661"/>
      <c r="U47" s="661"/>
      <c r="V47" s="686"/>
      <c r="W47" s="686"/>
      <c r="X47" s="689" t="str">
        <f>Y46&amp;"-"&amp;AA46</f>
        <v>-</v>
      </c>
      <c r="Y47" s="2533"/>
      <c r="Z47" s="2402"/>
      <c r="AA47" s="2533"/>
      <c r="AB47" s="2402"/>
      <c r="AC47" s="686"/>
      <c r="AD47" s="686"/>
      <c r="AE47" s="689" t="str">
        <f>AF46&amp;"-"&amp;AH46</f>
        <v>-</v>
      </c>
      <c r="AF47" s="2533"/>
      <c r="AG47" s="2402"/>
      <c r="AH47" s="2535"/>
      <c r="AI47" s="2402"/>
      <c r="AJ47" s="1805"/>
      <c r="AK47" s="2620"/>
      <c r="AM47" s="861"/>
      <c r="AN47" s="861" t="str">
        <f>IF(T47="","",T47)</f>
        <v/>
      </c>
      <c r="AO47" s="861"/>
      <c r="AP47" s="861"/>
    </row>
    <row customHeight="1" ht="21">
      <c r="A48" s="1729" t="s">
        <v>235</v>
      </c>
      <c r="B48" s="1729" t="s">
        <v>236</v>
      </c>
      <c r="C48" s="1729" t="s">
        <v>237</v>
      </c>
      <c r="D48" s="1729" t="s">
        <v>535</v>
      </c>
      <c r="E48" s="2528"/>
      <c r="F48" s="2528"/>
      <c r="G48" s="2528"/>
      <c r="H48" s="2528"/>
      <c r="I48" s="2530"/>
      <c r="J48" s="2529"/>
      <c r="K48" s="1729"/>
      <c r="L48" s="1730"/>
      <c r="P48" s="2531"/>
      <c r="Q48" s="2531"/>
      <c r="R48" s="717"/>
      <c r="S48" s="1644"/>
      <c r="T48" s="648" t="s">
        <v>525</v>
      </c>
      <c r="U48" s="728"/>
      <c r="V48" s="728"/>
      <c r="W48" s="728"/>
      <c r="X48" s="728"/>
      <c r="Y48" s="728"/>
      <c r="Z48" s="728"/>
      <c r="AA48" s="728"/>
      <c r="AB48" s="728"/>
      <c r="AC48" s="728"/>
      <c r="AD48" s="728"/>
      <c r="AE48" s="728"/>
      <c r="AF48" s="728"/>
      <c r="AG48" s="728"/>
      <c r="AH48" s="728"/>
      <c r="AI48" s="728"/>
      <c r="AJ48" s="728"/>
      <c r="AK48" s="1623" t="s">
        <v>526</v>
      </c>
      <c r="AM48" s="861"/>
      <c r="AN48" s="861" t="str">
        <f>IF(T48="","",T48)</f>
        <v>Добавить значение признака дифференциации</v>
      </c>
      <c r="AO48" s="861"/>
      <c r="AP48" s="861"/>
    </row>
    <row customHeight="1" ht="21">
      <c r="A49" s="1729" t="s">
        <v>235</v>
      </c>
      <c r="B49" s="1729" t="s">
        <v>236</v>
      </c>
      <c r="C49" s="1729" t="s">
        <v>237</v>
      </c>
      <c r="D49" s="1729" t="s">
        <v>535</v>
      </c>
      <c r="E49" s="2528"/>
      <c r="F49" s="2528"/>
      <c r="G49" s="2528"/>
      <c r="H49" s="2528"/>
      <c r="I49" s="2529"/>
      <c r="J49" s="1729"/>
      <c r="K49" s="1729"/>
      <c r="L49" s="1730"/>
      <c r="P49" s="2531"/>
      <c r="Q49" s="1816"/>
      <c r="R49" s="717"/>
      <c r="S49" s="1644"/>
      <c r="T49" s="726" t="s">
        <v>453</v>
      </c>
      <c r="U49" s="728"/>
      <c r="V49" s="728"/>
      <c r="W49" s="728"/>
      <c r="X49" s="728"/>
      <c r="Y49" s="728"/>
      <c r="Z49" s="728"/>
      <c r="AA49" s="728"/>
      <c r="AB49" s="727"/>
      <c r="AC49" s="728"/>
      <c r="AD49" s="728"/>
      <c r="AE49" s="728"/>
      <c r="AF49" s="728"/>
      <c r="AG49" s="728"/>
      <c r="AH49" s="728"/>
      <c r="AI49" s="727"/>
      <c r="AJ49" s="728"/>
      <c r="AK49" s="1806"/>
      <c r="AM49" s="861"/>
      <c r="AN49" s="861" t="str">
        <f>IF(T49="","",T49)</f>
        <v>Добавить группу потребителей</v>
      </c>
      <c r="AO49" s="861"/>
      <c r="AP49" s="861"/>
    </row>
    <row customHeight="1" ht="21">
      <c r="A50" s="1729" t="s">
        <v>235</v>
      </c>
      <c r="B50" s="1729" t="s">
        <v>236</v>
      </c>
      <c r="C50" s="1729" t="s">
        <v>237</v>
      </c>
      <c r="D50" s="1729" t="s">
        <v>535</v>
      </c>
      <c r="E50" s="2528"/>
      <c r="F50" s="2528"/>
      <c r="G50" s="2528"/>
      <c r="H50" s="2527"/>
      <c r="I50" s="1729"/>
      <c r="J50" s="1729"/>
      <c r="K50" s="1729"/>
      <c r="L50" s="1730"/>
      <c r="M50" s="1731"/>
      <c r="N50" s="1731"/>
      <c r="O50" s="898"/>
      <c r="P50" s="721"/>
      <c r="Q50" s="736"/>
      <c r="R50" s="716"/>
      <c r="S50" s="1644"/>
      <c r="T50" s="733" t="s">
        <v>527</v>
      </c>
      <c r="U50" s="728"/>
      <c r="V50" s="728"/>
      <c r="W50" s="728"/>
      <c r="X50" s="728"/>
      <c r="Y50" s="728"/>
      <c r="Z50" s="728"/>
      <c r="AA50" s="728"/>
      <c r="AB50" s="727"/>
      <c r="AC50" s="728"/>
      <c r="AD50" s="728"/>
      <c r="AE50" s="728"/>
      <c r="AF50" s="728"/>
      <c r="AG50" s="728"/>
      <c r="AH50" s="728"/>
      <c r="AI50" s="727"/>
      <c r="AJ50" s="728"/>
      <c r="AK50" s="664"/>
      <c r="AM50" s="861"/>
      <c r="AN50" s="861" t="str">
        <f>IF(T50="","",T50)</f>
        <v>Добавить наименование признака дифференциации</v>
      </c>
      <c r="AO50" s="861"/>
      <c r="AP50" s="861"/>
    </row>
    <row s="32198" customFormat="1" customHeight="1" ht="0">
      <c r="A51" s="1709" t="s">
        <v>235</v>
      </c>
      <c r="B51" s="1709" t="s">
        <v>236</v>
      </c>
      <c r="C51" s="1680"/>
      <c r="D51" s="1680"/>
      <c r="E51" s="2528"/>
      <c r="F51" s="2527"/>
      <c r="G51" s="1680"/>
      <c r="H51" s="1680"/>
      <c r="I51" s="1680"/>
      <c r="J51" s="1680"/>
      <c r="K51" s="1680"/>
      <c r="L51" s="1824"/>
      <c r="M51" s="1687"/>
      <c r="N51" s="1687"/>
      <c r="P51" s="1682"/>
      <c r="Q51" s="1683"/>
      <c r="R51" s="1682"/>
      <c r="S51" s="1688"/>
      <c r="T51" s="1691" t="s">
        <v>262</v>
      </c>
      <c r="U51" s="1690"/>
      <c r="V51" s="1690"/>
      <c r="W51" s="1690"/>
      <c r="X51" s="1690"/>
      <c r="Y51" s="1690"/>
      <c r="Z51" s="1690"/>
      <c r="AA51" s="1690"/>
      <c r="AB51" s="1690"/>
      <c r="AC51" s="1690"/>
      <c r="AD51" s="1690"/>
      <c r="AE51" s="1690"/>
      <c r="AF51" s="1690"/>
      <c r="AG51" s="1690"/>
      <c r="AH51" s="1690"/>
      <c r="AI51" s="1690"/>
      <c r="AJ51" s="1690"/>
      <c r="AK51" s="1690"/>
      <c r="AM51" s="1150"/>
      <c r="AN51" s="1150" t="str">
        <f>IF(T51="","",T51)</f>
        <v>Добавить централизованную систему для дифференциации</v>
      </c>
      <c r="AO51" s="1150"/>
      <c r="AP51" s="1150"/>
    </row>
    <row s="32289" customFormat="1" customHeight="1" ht="0">
      <c r="A52" s="1709" t="s">
        <v>235</v>
      </c>
      <c r="B52" s="1709"/>
      <c r="C52" s="1709"/>
      <c r="D52" s="1709"/>
      <c r="E52" s="2527"/>
      <c r="F52" s="1709"/>
      <c r="G52" s="1709"/>
      <c r="H52" s="1709"/>
      <c r="I52" s="1709"/>
      <c r="J52" s="1709"/>
      <c r="K52" s="1709"/>
      <c r="L52" s="1712"/>
      <c r="M52" s="1687"/>
      <c r="N52" s="1687"/>
      <c r="O52" s="879"/>
      <c r="P52" s="741"/>
      <c r="Q52" s="1710"/>
      <c r="R52" s="741"/>
      <c r="S52" s="1688"/>
      <c r="T52" s="1691" t="s">
        <v>270</v>
      </c>
      <c r="U52" s="1690"/>
      <c r="V52" s="1690"/>
      <c r="W52" s="1690"/>
      <c r="X52" s="1690"/>
      <c r="Y52" s="1690"/>
      <c r="Z52" s="1690"/>
      <c r="AA52" s="1690"/>
      <c r="AB52" s="1690"/>
      <c r="AC52" s="1690"/>
      <c r="AD52" s="1690"/>
      <c r="AE52" s="1690"/>
      <c r="AF52" s="1690"/>
      <c r="AG52" s="1690"/>
      <c r="AH52" s="1690"/>
      <c r="AI52" s="1690"/>
      <c r="AJ52" s="1690"/>
      <c r="AK52" s="1690"/>
      <c r="AM52" s="861"/>
      <c r="AN52" s="861" t="str">
        <f>IF(T52="","",T52)</f>
        <v>Добавить территорию для дифференциации</v>
      </c>
      <c r="AO52" s="861"/>
      <c r="AP52" s="861"/>
    </row>
    <row s="32198" customFormat="1" customHeight="1" ht="0">
      <c r="A53" s="1680"/>
      <c r="B53" s="1680"/>
      <c r="C53" s="1680"/>
      <c r="D53" s="1680"/>
      <c r="E53" s="1709"/>
      <c r="F53" s="1680"/>
      <c r="G53" s="1680"/>
      <c r="H53" s="1680"/>
      <c r="I53" s="1680"/>
      <c r="J53" s="1680"/>
      <c r="K53" s="1680"/>
      <c r="L53" s="1824"/>
      <c r="M53" s="1687"/>
      <c r="N53" s="1687"/>
      <c r="P53" s="1682"/>
      <c r="Q53" s="1683"/>
      <c r="R53" s="1682"/>
      <c r="S53" s="1688"/>
      <c r="T53" s="1691" t="s">
        <v>294</v>
      </c>
      <c r="U53" s="1690"/>
      <c r="V53" s="1690"/>
      <c r="W53" s="1690"/>
      <c r="X53" s="1690"/>
      <c r="Y53" s="1690"/>
      <c r="Z53" s="1690"/>
      <c r="AA53" s="1690"/>
      <c r="AB53" s="1690"/>
      <c r="AC53" s="1690"/>
      <c r="AD53" s="1690"/>
      <c r="AE53" s="1690"/>
      <c r="AF53" s="1690"/>
      <c r="AG53" s="1690"/>
      <c r="AH53" s="1690"/>
      <c r="AI53" s="1690"/>
      <c r="AJ53" s="1690"/>
      <c r="AK53" s="1690"/>
      <c r="AM53" s="1150"/>
      <c r="AN53" s="1150" t="str">
        <f>IF(T53="","",T53)</f>
        <v>Добавить наименование тарифа</v>
      </c>
      <c r="AO53" s="1150"/>
      <c r="AP53" s="1150"/>
    </row>
    <row customHeight="1" ht="11.25">
      <c r="M54" s="1523"/>
      <c r="N54" s="1523"/>
      <c r="O54" s="898"/>
      <c r="P54" s="1518"/>
      <c r="Q54" s="1518"/>
      <c r="R54" s="1518"/>
      <c r="S54" s="1518"/>
      <c r="AL54" s="1518"/>
      <c r="AM54" s="1518"/>
      <c r="AN54" s="1518"/>
      <c r="AO54" s="1518"/>
      <c r="AP54" s="1518"/>
    </row>
    <row customHeight="1" ht="14.25">
      <c r="O55" s="898"/>
      <c r="S55" s="1618"/>
      <c r="T55" s="2526"/>
      <c r="U55" s="2526"/>
      <c r="V55" s="2526"/>
      <c r="W55" s="2526"/>
      <c r="X55" s="2526"/>
      <c r="Y55" s="2526"/>
      <c r="Z55" s="2526"/>
      <c r="AA55" s="2526"/>
      <c r="AB55" s="2526"/>
      <c r="AC55" s="2526"/>
      <c r="AD55" s="2526"/>
      <c r="AE55" s="2526"/>
      <c r="AF55" s="2526"/>
      <c r="AG55" s="2526"/>
      <c r="AH55" s="2526"/>
      <c r="AI55" s="2526"/>
      <c r="AJ55" s="2526"/>
      <c r="AK55" s="2526"/>
    </row>
    <row customHeight="1" ht="14.25">
      <c r="O56" s="898"/>
    </row>
    <row customHeight="1" ht="14.25">
      <c r="O57" s="898"/>
      <c r="S57" s="1618"/>
      <c r="T57" s="2526"/>
      <c r="U57" s="2526"/>
      <c r="V57" s="2526"/>
      <c r="W57" s="2526"/>
      <c r="X57" s="2526"/>
      <c r="Y57" s="2526"/>
      <c r="Z57" s="2526"/>
      <c r="AA57" s="2526"/>
      <c r="AB57" s="2526"/>
      <c r="AC57" s="2526"/>
      <c r="AD57" s="2526"/>
      <c r="AE57" s="2526"/>
      <c r="AF57" s="2526"/>
      <c r="AG57" s="2526"/>
      <c r="AH57" s="2526"/>
      <c r="AI57" s="2526"/>
      <c r="AJ57" s="2526"/>
      <c r="AK57" s="2526"/>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897AB-D024-50E5-6178-2CDCCCB53815}"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217" width="10.57421875" hidden="1"/>
    <col min="2" max="2" style="32217" width="11.00390625" hidden="1" customWidth="1"/>
    <col min="3" max="3" style="32217" width="10.57421875" hidden="1"/>
    <col min="4" max="4" style="32217" width="11.8515625" hidden="1" customWidth="1"/>
    <col min="5" max="5" style="32217" width="10.00390625" hidden="1" customWidth="1"/>
    <col min="6" max="6" style="32217" width="8.7109375" hidden="1" customWidth="1"/>
    <col min="7" max="7" style="32217" width="7.57421875" hidden="1" customWidth="1"/>
    <col min="8" max="8" style="32217" width="11.421875" hidden="1" customWidth="1"/>
    <col min="9" max="9" style="32217" width="14.140625" hidden="1" customWidth="1"/>
    <col min="10" max="10" style="32217" width="9.8515625" hidden="1" customWidth="1"/>
    <col min="11" max="11" style="32217" width="14.7109375" hidden="1" customWidth="1"/>
    <col min="12" max="12" style="32510" width="19.140625" hidden="1" customWidth="1"/>
    <col min="13" max="14" style="32298" width="12.28125" hidden="1" customWidth="1"/>
    <col min="15" max="15" style="32298" width="23.421875" hidden="1" customWidth="1"/>
    <col min="16" max="16" style="32511" width="3.7109375" customWidth="1"/>
    <col min="17" max="18" style="32300" width="3.7109375" customWidth="1"/>
    <col min="19" max="19" style="32301" width="12.7109375" customWidth="1"/>
    <col min="20" max="20" style="32302" width="35.7109375" customWidth="1"/>
    <col min="21" max="21" style="32302" width="0.140625" customWidth="1"/>
    <col min="22" max="24" style="32302" width="24.7109375" hidden="1" customWidth="1"/>
    <col min="25" max="25" style="32302" width="11.7109375" hidden="1" customWidth="1"/>
    <col min="26" max="26" style="32302" width="3.7109375" hidden="1" customWidth="1"/>
    <col min="27" max="27" style="32302" width="11.7109375" hidden="1" customWidth="1"/>
    <col min="28" max="28" style="32302" width="8.57421875" hidden="1" customWidth="1"/>
    <col min="29" max="31" style="32302" width="24.7109375" customWidth="1"/>
    <col min="32" max="32" style="32302" width="11.7109375" customWidth="1"/>
    <col min="33" max="33" style="32302" width="3.7109375" customWidth="1"/>
    <col min="34" max="34" style="32302" width="11.7109375" customWidth="1"/>
    <col min="35" max="35" style="32302" width="8.57421875" hidden="1" customWidth="1"/>
    <col min="36" max="36" style="32302" width="4.7109375" customWidth="1"/>
    <col min="37" max="37" style="32302" width="115.7109375" customWidth="1"/>
    <col min="38" max="39" style="32289" width="10.57421875"/>
    <col min="40" max="40" style="32289" width="11.140625" customWidth="1"/>
    <col min="41" max="42" style="32289" width="10.57421875"/>
  </cols>
  <sheetData>
    <row customHeight="1" ht="14.25" hidden="1">
      <c r="X1" s="688"/>
      <c r="Y1" s="688"/>
      <c r="AE1" s="688"/>
      <c r="AF1" s="688"/>
    </row>
    <row customHeight="1" ht="23.25" hidden="1">
      <c r="A2" s="1729"/>
      <c r="B2" s="1729"/>
      <c r="C2" s="1729"/>
      <c r="D2" s="1729"/>
      <c r="E2" s="2527">
        <v>1</v>
      </c>
      <c r="F2" s="1729"/>
      <c r="G2" s="1729"/>
      <c r="H2" s="1729"/>
      <c r="I2" s="1729"/>
      <c r="J2" s="1729"/>
      <c r="K2" s="1729"/>
      <c r="L2" s="1730"/>
      <c r="M2" s="1731"/>
      <c r="N2" s="1731"/>
      <c r="O2" s="1731"/>
      <c r="P2" s="722"/>
      <c r="Q2" s="721"/>
      <c r="R2" s="716"/>
      <c r="S2" s="1823">
        <f>INDEX(PT_DIFFERENTIATION_NUM_NTAR,MATCH(A2,PT_DIFFERENTIATION_NTAR_ID,0))</f>
      </c>
      <c r="T2" s="659" t="s">
        <v>131</v>
      </c>
      <c r="U2" s="661"/>
      <c r="V2" s="2521"/>
      <c r="W2" s="2522"/>
      <c r="X2" s="2522"/>
      <c r="Y2" s="2522"/>
      <c r="Z2" s="2522"/>
      <c r="AA2" s="2522"/>
      <c r="AB2" s="2523"/>
      <c r="AC2" s="2521">
        <f>INDEX(PT_DIFFERENTIATION_NTAR,MATCH(A2,PT_DIFFERENTIATION_NTAR_ID,0))</f>
      </c>
      <c r="AD2" s="2522"/>
      <c r="AE2" s="2522"/>
      <c r="AF2" s="2522"/>
      <c r="AG2" s="2522"/>
      <c r="AH2" s="2522"/>
      <c r="AI2" s="2522"/>
      <c r="AJ2" s="2523"/>
      <c r="AK2"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861"/>
      <c r="AN2" s="861" t="str">
        <f>IF(T2="","",T2)</f>
        <v>Наименование тарифа</v>
      </c>
      <c r="AO2" s="861"/>
      <c r="AP2" s="861"/>
    </row>
    <row customHeight="1" ht="23.25" hidden="1">
      <c r="A3" s="1729"/>
      <c r="B3" s="1729"/>
      <c r="C3" s="1729"/>
      <c r="D3" s="1729"/>
      <c r="E3" s="2528"/>
      <c r="F3" s="2527">
        <v>1</v>
      </c>
      <c r="G3" s="1729"/>
      <c r="H3" s="1729"/>
      <c r="I3" s="1729"/>
      <c r="J3" s="1729"/>
      <c r="K3" s="1729"/>
      <c r="L3" s="1730"/>
      <c r="M3" s="1731"/>
      <c r="N3" s="1731"/>
      <c r="O3" s="1731"/>
      <c r="P3" s="1819"/>
      <c r="Q3" s="713"/>
      <c r="R3" s="714"/>
      <c r="S3" s="1823">
        <f>INDEX(PT_DIFFERENTIATION_NUM_TER,MATCH(B3,PT_DIFFERENTIATION_TER_ID,0))</f>
      </c>
      <c r="T3" s="669" t="s">
        <v>438</v>
      </c>
      <c r="U3" s="661"/>
      <c r="V3" s="2521"/>
      <c r="W3" s="2522"/>
      <c r="X3" s="2522"/>
      <c r="Y3" s="2522"/>
      <c r="Z3" s="2522"/>
      <c r="AA3" s="2522"/>
      <c r="AB3" s="2523"/>
      <c r="AC3" s="2521">
        <f>INDEX(PT_DIFFERENTIATION_TER,MATCH(B3,PT_DIFFERENTIATION_TER_ID,0))</f>
      </c>
      <c r="AD3" s="2522"/>
      <c r="AE3" s="2522"/>
      <c r="AF3" s="2522"/>
      <c r="AG3" s="2522"/>
      <c r="AH3" s="2522"/>
      <c r="AI3" s="2522"/>
      <c r="AJ3" s="2523"/>
      <c r="AK3" s="1623" t="s">
        <v>439</v>
      </c>
      <c r="AM3" s="861"/>
      <c r="AN3" s="861" t="str">
        <f>IF(T3="","",T3)</f>
        <v>Территория действия тарифа</v>
      </c>
      <c r="AO3" s="861"/>
      <c r="AP3" s="861"/>
    </row>
    <row customHeight="1" ht="23.25" hidden="1">
      <c r="A4" s="1729"/>
      <c r="B4" s="1729"/>
      <c r="C4" s="1729"/>
      <c r="D4" s="1729"/>
      <c r="E4" s="2528"/>
      <c r="F4" s="2528"/>
      <c r="G4" s="2527">
        <v>1</v>
      </c>
      <c r="H4" s="1729"/>
      <c r="I4" s="1729"/>
      <c r="J4" s="1729"/>
      <c r="K4" s="1729"/>
      <c r="L4" s="1730"/>
      <c r="M4" s="1731"/>
      <c r="N4" s="1731"/>
      <c r="O4" s="1731"/>
      <c r="P4" s="715"/>
      <c r="Q4" s="713"/>
      <c r="R4" s="714"/>
      <c r="S4" s="1823">
        <f>INDEX(PT_DIFFERENTIATION_NUM_CS,MATCH(C4,PT_DIFFERENTIATION_CS_ID,0))</f>
      </c>
      <c r="T4" s="670" t="s">
        <v>520</v>
      </c>
      <c r="U4" s="661"/>
      <c r="V4" s="2521"/>
      <c r="W4" s="2522"/>
      <c r="X4" s="2522"/>
      <c r="Y4" s="2522"/>
      <c r="Z4" s="2522"/>
      <c r="AA4" s="2522"/>
      <c r="AB4" s="2523"/>
      <c r="AC4" s="2521">
        <f>INDEX(PT_DIFFERENTIATION_CS,MATCH(C4,PT_DIFFERENTIATION_CS_ID,0))</f>
      </c>
      <c r="AD4" s="2522"/>
      <c r="AE4" s="2522"/>
      <c r="AF4" s="2522"/>
      <c r="AG4" s="2522"/>
      <c r="AH4" s="2522"/>
      <c r="AI4" s="2522"/>
      <c r="AJ4" s="2523"/>
      <c r="AK4" s="1623" t="s">
        <v>521</v>
      </c>
      <c r="AM4" s="861"/>
      <c r="AN4" s="861" t="str">
        <f>IF(T4="","",T4)</f>
        <v>Наименование централизованной системы холодного водоснабжения</v>
      </c>
      <c r="AO4" s="861"/>
      <c r="AP4" s="861"/>
    </row>
    <row customHeight="1" ht="23.25" hidden="1">
      <c r="A5" s="1729"/>
      <c r="B5" s="1729"/>
      <c r="C5" s="1729"/>
      <c r="D5" s="1729"/>
      <c r="E5" s="2528"/>
      <c r="F5" s="2528"/>
      <c r="G5" s="2528"/>
      <c r="H5" s="2528"/>
      <c r="I5" s="2529">
        <f>S4&amp;".1"</f>
      </c>
      <c r="J5" s="1729"/>
      <c r="K5" s="1729"/>
      <c r="L5" s="1730"/>
      <c r="P5" s="2531">
        <v>1</v>
      </c>
      <c r="Q5" s="1816"/>
      <c r="R5" s="717"/>
      <c r="S5" s="1823">
        <f>$I5</f>
      </c>
      <c r="T5" s="646" t="s">
        <v>522</v>
      </c>
      <c r="U5" s="661"/>
      <c r="V5" s="2614"/>
      <c r="W5" s="2615"/>
      <c r="X5" s="2615"/>
      <c r="Y5" s="2615"/>
      <c r="Z5" s="2615"/>
      <c r="AA5" s="2615"/>
      <c r="AB5" s="2616"/>
      <c r="AC5" s="2617"/>
      <c r="AD5" s="2618"/>
      <c r="AE5" s="2618"/>
      <c r="AF5" s="2618"/>
      <c r="AG5" s="2618"/>
      <c r="AH5" s="2618"/>
      <c r="AI5" s="2618"/>
      <c r="AJ5" s="2619"/>
      <c r="AK5" s="1623" t="s">
        <v>523</v>
      </c>
      <c r="AM5" s="861"/>
      <c r="AN5" s="861" t="str">
        <f>IF(T5="","",T5)</f>
        <v>Наименование признака дифференциации</v>
      </c>
      <c r="AO5" s="861"/>
      <c r="AP5" s="861"/>
    </row>
    <row customHeight="1" ht="23.25" hidden="1">
      <c r="A6" s="1729"/>
      <c r="B6" s="1729"/>
      <c r="C6" s="1729"/>
      <c r="D6" s="1729"/>
      <c r="E6" s="2528"/>
      <c r="F6" s="2528"/>
      <c r="G6" s="2528"/>
      <c r="H6" s="2528"/>
      <c r="I6" s="2530"/>
      <c r="J6" s="2529">
        <f>I5&amp;".1"</f>
      </c>
      <c r="K6" s="1729"/>
      <c r="L6" s="1730" t="s">
        <v>447</v>
      </c>
      <c r="P6" s="2531"/>
      <c r="Q6" s="2531">
        <v>1</v>
      </c>
      <c r="R6" s="718"/>
      <c r="S6" s="1823">
        <f>$J6</f>
      </c>
      <c r="T6" s="647" t="s">
        <v>448</v>
      </c>
      <c r="U6" s="661"/>
      <c r="V6" s="2515"/>
      <c r="W6" s="2516"/>
      <c r="X6" s="2516"/>
      <c r="Y6" s="2516"/>
      <c r="Z6" s="2516"/>
      <c r="AA6" s="2516"/>
      <c r="AB6" s="2517"/>
      <c r="AC6" s="2515"/>
      <c r="AD6" s="2516"/>
      <c r="AE6" s="2516"/>
      <c r="AF6" s="2516"/>
      <c r="AG6" s="2516"/>
      <c r="AH6" s="2516"/>
      <c r="AI6" s="2516"/>
      <c r="AJ6" s="2517"/>
      <c r="AK6" s="1673" t="s">
        <v>524</v>
      </c>
      <c r="AM6" s="861"/>
      <c r="AN6" s="861" t="str">
        <f>IF(T6="","",T6)</f>
        <v>Группа потребителей</v>
      </c>
      <c r="AO6" s="861"/>
      <c r="AP6" s="861"/>
    </row>
    <row customHeight="1" ht="23.25" hidden="1">
      <c r="A7" s="1729"/>
      <c r="B7" s="1729"/>
      <c r="C7" s="1729"/>
      <c r="D7" s="1729"/>
      <c r="E7" s="2528"/>
      <c r="F7" s="2528"/>
      <c r="G7" s="2528"/>
      <c r="H7" s="2528"/>
      <c r="I7" s="2530"/>
      <c r="J7" s="2530"/>
      <c r="K7" s="2529">
        <f>J6&amp;".1"</f>
      </c>
      <c r="L7" s="1730"/>
      <c r="P7" s="2531"/>
      <c r="Q7" s="2531"/>
      <c r="R7" s="718">
        <v>1</v>
      </c>
      <c r="S7" s="1823">
        <f>$K7</f>
      </c>
      <c r="T7" s="1803"/>
      <c r="U7" s="661"/>
      <c r="V7" s="1112"/>
      <c r="W7" s="1112"/>
      <c r="X7" s="1622"/>
      <c r="Y7" s="2532"/>
      <c r="Z7" s="2402" t="s">
        <v>66</v>
      </c>
      <c r="AA7" s="2532"/>
      <c r="AB7" s="2402" t="s">
        <v>66</v>
      </c>
      <c r="AC7" s="1112"/>
      <c r="AD7" s="1112"/>
      <c r="AE7" s="1622"/>
      <c r="AF7" s="2532"/>
      <c r="AG7" s="2402" t="s">
        <v>66</v>
      </c>
      <c r="AH7" s="2534"/>
      <c r="AI7" s="2402" t="s">
        <v>66</v>
      </c>
      <c r="AJ7" s="1804"/>
      <c r="AK7" s="26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72">
        <f>STRCHECKDATE(V8:AJ8)</f>
      </c>
      <c r="AM7" s="861"/>
      <c r="AN7" s="861" t="str">
        <f>IF(T7="","",T7)</f>
        <v/>
      </c>
      <c r="AO7" s="861"/>
      <c r="AP7" s="861"/>
    </row>
    <row customHeight="1" ht="14.25" hidden="1">
      <c r="A8" s="1729"/>
      <c r="B8" s="1729"/>
      <c r="C8" s="1729"/>
      <c r="D8" s="1729"/>
      <c r="E8" s="2528"/>
      <c r="F8" s="2528"/>
      <c r="G8" s="2528"/>
      <c r="H8" s="2528"/>
      <c r="I8" s="2530"/>
      <c r="J8" s="2530"/>
      <c r="K8" s="2529"/>
      <c r="L8" s="1730"/>
      <c r="P8" s="2531"/>
      <c r="Q8" s="2531"/>
      <c r="R8" s="718"/>
      <c r="S8" s="1822"/>
      <c r="T8" s="661"/>
      <c r="U8" s="661"/>
      <c r="V8" s="686"/>
      <c r="W8" s="686"/>
      <c r="X8" s="689" t="str">
        <f>Y7&amp;"-"&amp;AA7</f>
        <v>-</v>
      </c>
      <c r="Y8" s="2533"/>
      <c r="Z8" s="2402"/>
      <c r="AA8" s="2533"/>
      <c r="AB8" s="2402"/>
      <c r="AC8" s="686"/>
      <c r="AD8" s="686"/>
      <c r="AE8" s="689" t="str">
        <f>AF7&amp;"-"&amp;AH7</f>
        <v>-</v>
      </c>
      <c r="AF8" s="2533"/>
      <c r="AG8" s="2402"/>
      <c r="AH8" s="2535"/>
      <c r="AI8" s="2402"/>
      <c r="AJ8" s="1805"/>
      <c r="AK8" s="2620"/>
      <c r="AM8" s="861"/>
      <c r="AN8" s="861" t="str">
        <f>IF(T8="","",T8)</f>
        <v/>
      </c>
      <c r="AO8" s="861"/>
      <c r="AP8" s="861"/>
    </row>
    <row customHeight="1" ht="21" hidden="1">
      <c r="A9" s="1729"/>
      <c r="B9" s="1729"/>
      <c r="C9" s="1729"/>
      <c r="D9" s="1729"/>
      <c r="E9" s="2528"/>
      <c r="F9" s="2528"/>
      <c r="G9" s="2528"/>
      <c r="H9" s="2528"/>
      <c r="I9" s="2530"/>
      <c r="J9" s="2529"/>
      <c r="K9" s="1729"/>
      <c r="L9" s="1730"/>
      <c r="P9" s="2531"/>
      <c r="Q9" s="2531"/>
      <c r="R9" s="717"/>
      <c r="S9" s="1644"/>
      <c r="T9" s="648" t="s">
        <v>525</v>
      </c>
      <c r="U9" s="728"/>
      <c r="V9" s="728"/>
      <c r="W9" s="728"/>
      <c r="X9" s="728"/>
      <c r="Y9" s="728"/>
      <c r="Z9" s="728"/>
      <c r="AA9" s="728"/>
      <c r="AB9" s="728"/>
      <c r="AC9" s="728"/>
      <c r="AD9" s="728"/>
      <c r="AE9" s="728"/>
      <c r="AF9" s="728"/>
      <c r="AG9" s="728"/>
      <c r="AH9" s="728"/>
      <c r="AI9" s="728"/>
      <c r="AJ9" s="728"/>
      <c r="AK9" s="1623" t="s">
        <v>526</v>
      </c>
      <c r="AM9" s="861"/>
      <c r="AN9" s="861" t="str">
        <f>IF(T9="","",T9)</f>
        <v>Добавить значение признака дифференциации</v>
      </c>
      <c r="AO9" s="861"/>
      <c r="AP9" s="861"/>
    </row>
    <row customHeight="1" ht="21" hidden="1">
      <c r="A10" s="1729"/>
      <c r="B10" s="1729"/>
      <c r="C10" s="1729"/>
      <c r="D10" s="1729"/>
      <c r="E10" s="2528"/>
      <c r="F10" s="2528"/>
      <c r="G10" s="2528"/>
      <c r="H10" s="2528"/>
      <c r="I10" s="2529"/>
      <c r="J10" s="1729"/>
      <c r="K10" s="1729"/>
      <c r="L10" s="1730"/>
      <c r="P10" s="2531"/>
      <c r="Q10" s="1816"/>
      <c r="R10" s="717"/>
      <c r="S10" s="1644"/>
      <c r="T10" s="726" t="s">
        <v>453</v>
      </c>
      <c r="U10" s="728"/>
      <c r="V10" s="728"/>
      <c r="W10" s="728"/>
      <c r="X10" s="728"/>
      <c r="Y10" s="728"/>
      <c r="Z10" s="728"/>
      <c r="AA10" s="728"/>
      <c r="AB10" s="727"/>
      <c r="AC10" s="728"/>
      <c r="AD10" s="728"/>
      <c r="AE10" s="728"/>
      <c r="AF10" s="728"/>
      <c r="AG10" s="728"/>
      <c r="AH10" s="728"/>
      <c r="AI10" s="727"/>
      <c r="AJ10" s="728"/>
      <c r="AK10" s="1806"/>
      <c r="AM10" s="861"/>
      <c r="AN10" s="861" t="str">
        <f>IF(T10="","",T10)</f>
        <v>Добавить группу потребителей</v>
      </c>
      <c r="AO10" s="861"/>
      <c r="AP10" s="861"/>
    </row>
    <row customHeight="1" ht="21" hidden="1">
      <c r="A11" s="1729"/>
      <c r="B11" s="1729"/>
      <c r="C11" s="1729"/>
      <c r="D11" s="1729"/>
      <c r="E11" s="2528"/>
      <c r="F11" s="2528"/>
      <c r="G11" s="2528"/>
      <c r="H11" s="2527"/>
      <c r="I11" s="1729"/>
      <c r="J11" s="1729"/>
      <c r="K11" s="1729"/>
      <c r="L11" s="1730"/>
      <c r="M11" s="1731"/>
      <c r="N11" s="1731"/>
      <c r="O11" s="898"/>
      <c r="P11" s="721"/>
      <c r="Q11" s="736"/>
      <c r="R11" s="716"/>
      <c r="S11" s="1644"/>
      <c r="T11" s="733" t="s">
        <v>527</v>
      </c>
      <c r="U11" s="728"/>
      <c r="V11" s="728"/>
      <c r="W11" s="728"/>
      <c r="X11" s="728"/>
      <c r="Y11" s="728"/>
      <c r="Z11" s="728"/>
      <c r="AA11" s="728"/>
      <c r="AB11" s="727"/>
      <c r="AC11" s="728"/>
      <c r="AD11" s="728"/>
      <c r="AE11" s="728"/>
      <c r="AF11" s="728"/>
      <c r="AG11" s="728"/>
      <c r="AH11" s="728"/>
      <c r="AI11" s="727"/>
      <c r="AJ11" s="728"/>
      <c r="AK11" s="664"/>
      <c r="AM11" s="861"/>
      <c r="AN11" s="861" t="str">
        <f>IF(T11="","",T11)</f>
        <v>Добавить наименование признака дифференциации</v>
      </c>
      <c r="AO11" s="861"/>
      <c r="AP11" s="861"/>
    </row>
    <row s="32198" customFormat="1" customHeight="1" ht="14.25" hidden="1">
      <c r="A12" s="1709"/>
      <c r="B12" s="1709"/>
      <c r="C12" s="1680"/>
      <c r="D12" s="1680"/>
      <c r="E12" s="2528"/>
      <c r="F12" s="2527"/>
      <c r="G12" s="1680"/>
      <c r="H12" s="1680"/>
      <c r="I12" s="1680"/>
      <c r="J12" s="1680"/>
      <c r="K12" s="1680"/>
      <c r="L12" s="1824"/>
      <c r="M12" s="1687"/>
      <c r="N12" s="1687"/>
      <c r="P12" s="1682"/>
      <c r="Q12" s="1683"/>
      <c r="R12" s="1682"/>
      <c r="S12" s="1688"/>
      <c r="T12" s="1691" t="s">
        <v>262</v>
      </c>
      <c r="U12" s="1690"/>
      <c r="V12" s="1690"/>
      <c r="W12" s="1690"/>
      <c r="X12" s="1690"/>
      <c r="Y12" s="1690"/>
      <c r="Z12" s="1690"/>
      <c r="AA12" s="1690"/>
      <c r="AB12" s="1690"/>
      <c r="AC12" s="1690"/>
      <c r="AD12" s="1690"/>
      <c r="AE12" s="1690"/>
      <c r="AF12" s="1690"/>
      <c r="AG12" s="1690"/>
      <c r="AH12" s="1690"/>
      <c r="AI12" s="1690"/>
      <c r="AJ12" s="1690"/>
      <c r="AK12" s="1690"/>
      <c r="AM12" s="1150"/>
      <c r="AN12" s="1150" t="str">
        <f>IF(T12="","",T12)</f>
        <v>Добавить централизованную систему для дифференциации</v>
      </c>
      <c r="AO12" s="1150"/>
      <c r="AP12" s="1150"/>
    </row>
    <row s="32289" customFormat="1" customHeight="1" ht="14.25" hidden="1">
      <c r="A13" s="1709"/>
      <c r="B13" s="1709"/>
      <c r="C13" s="1709"/>
      <c r="D13" s="1709"/>
      <c r="E13" s="2527"/>
      <c r="F13" s="1709"/>
      <c r="G13" s="1709"/>
      <c r="H13" s="1709"/>
      <c r="I13" s="1709"/>
      <c r="J13" s="1709"/>
      <c r="K13" s="1709"/>
      <c r="L13" s="1712"/>
      <c r="M13" s="1687"/>
      <c r="N13" s="1687"/>
      <c r="O13" s="879"/>
      <c r="P13" s="741"/>
      <c r="Q13" s="1710"/>
      <c r="R13" s="741"/>
      <c r="S13" s="1688"/>
      <c r="T13" s="1691" t="s">
        <v>270</v>
      </c>
      <c r="U13" s="1690"/>
      <c r="V13" s="1690"/>
      <c r="W13" s="1690"/>
      <c r="X13" s="1690"/>
      <c r="Y13" s="1690"/>
      <c r="Z13" s="1690"/>
      <c r="AA13" s="1690"/>
      <c r="AB13" s="1690"/>
      <c r="AC13" s="1690"/>
      <c r="AD13" s="1690"/>
      <c r="AE13" s="1690"/>
      <c r="AF13" s="1690"/>
      <c r="AG13" s="1690"/>
      <c r="AH13" s="1690"/>
      <c r="AI13" s="1690"/>
      <c r="AJ13" s="1690"/>
      <c r="AK13" s="1690"/>
      <c r="AM13" s="861"/>
      <c r="AN13" s="861" t="str">
        <f>IF(T13="","",T13)</f>
        <v>Добавить территорию для дифференциации</v>
      </c>
      <c r="AO13" s="861"/>
      <c r="AP13" s="861"/>
    </row>
    <row customHeight="1" ht="14.25" hidden="1">
      <c r="AB14" s="688"/>
      <c r="AI14" s="688"/>
    </row>
    <row customHeight="1" ht="14.25" hidden="1">
      <c r="AC15" s="1726"/>
      <c r="AD15" s="1726"/>
      <c r="AE15" s="1727"/>
      <c r="AF15" s="2525"/>
      <c r="AG15" s="2524" t="s">
        <v>66</v>
      </c>
      <c r="AH15" s="2525"/>
      <c r="AI15" s="2524" t="s">
        <v>66</v>
      </c>
    </row>
    <row customHeight="1" ht="14.25" hidden="1">
      <c r="AC16" s="1726"/>
      <c r="AD16" s="1726"/>
      <c r="AE16" s="689" t="str">
        <f>AF15&amp;"-"&amp;AH15</f>
        <v>-</v>
      </c>
      <c r="AF16" s="2524"/>
      <c r="AG16" s="2524"/>
      <c r="AH16" s="2524"/>
      <c r="AI16" s="2524"/>
    </row>
    <row customHeight="1" ht="14.25" hidden="1">
      <c r="AI17" s="688"/>
    </row>
    <row s="32217" customFormat="1" customHeight="1" ht="22.5" hidden="1">
      <c r="L18" s="1813"/>
      <c r="M18" s="1728"/>
      <c r="N18" s="1728"/>
      <c r="O18" s="1733" t="s">
        <v>456</v>
      </c>
      <c r="P18" s="1728"/>
      <c r="Q18" s="1737"/>
      <c r="R18" s="1737"/>
      <c r="S18" s="1090"/>
      <c r="Y18" s="1733"/>
      <c r="AA18" s="1733"/>
      <c r="AB18" s="1732"/>
      <c r="AF18" s="1733"/>
      <c r="AH18" s="1733"/>
      <c r="AI18" s="1732"/>
      <c r="AL18" s="872"/>
      <c r="AM18" s="872"/>
      <c r="AN18" s="872"/>
      <c r="AO18" s="872"/>
      <c r="AP18" s="872"/>
    </row>
    <row s="32217" customFormat="1" customHeight="1" ht="14.25" hidden="1">
      <c r="L19" s="1813"/>
      <c r="M19" s="1728"/>
      <c r="N19" s="1728"/>
      <c r="O19" s="1728"/>
      <c r="P19" s="1728"/>
      <c r="Q19" s="1737"/>
      <c r="R19" s="1737"/>
      <c r="S19" s="1090"/>
      <c r="AB19" s="1732"/>
      <c r="AI19" s="1732"/>
      <c r="AL19" s="872"/>
      <c r="AM19" s="872"/>
      <c r="AN19" s="872"/>
      <c r="AO19" s="872"/>
      <c r="AP19" s="872"/>
    </row>
    <row s="32217" customFormat="1" customHeight="1" ht="12" hidden="1">
      <c r="L20" s="1813"/>
      <c r="M20" s="1728"/>
      <c r="N20" s="1728"/>
      <c r="O20" s="1730" t="s">
        <v>457</v>
      </c>
      <c r="P20" s="1728"/>
      <c r="Q20" s="1808"/>
      <c r="R20" s="1808"/>
      <c r="S20" s="1090"/>
      <c r="T20" s="1523" t="s">
        <v>458</v>
      </c>
      <c r="Z20" s="547" t="s">
        <v>459</v>
      </c>
      <c r="AB20" s="547" t="s">
        <v>460</v>
      </c>
      <c r="AC20" s="1523" t="s">
        <v>458</v>
      </c>
      <c r="AG20" s="547" t="s">
        <v>461</v>
      </c>
      <c r="AI20" s="547" t="s">
        <v>460</v>
      </c>
    </row>
    <row customHeight="1" ht="14.25" hidden="1">
      <c r="O21" s="1730"/>
    </row>
    <row customHeight="1" ht="14.25" hidden="1">
      <c r="O22" s="1730"/>
    </row>
    <row customHeight="1" ht="14.25">
      <c r="Q23" s="737"/>
      <c r="R23" s="737"/>
      <c r="S23" s="1641"/>
      <c r="T23" s="724"/>
      <c r="U23" s="724"/>
      <c r="V23" s="870"/>
      <c r="W23" s="870"/>
      <c r="X23" s="870"/>
      <c r="Y23" s="870"/>
      <c r="Z23" s="870"/>
      <c r="AA23" s="870"/>
      <c r="AB23" s="870"/>
      <c r="AC23" s="870"/>
      <c r="AD23" s="870"/>
      <c r="AE23" s="870"/>
      <c r="AF23" s="870"/>
      <c r="AG23" s="870"/>
      <c r="AH23" s="870"/>
      <c r="AI23" s="870"/>
    </row>
    <row customHeight="1" ht="14.25">
      <c r="Q24" s="737"/>
      <c r="R24" s="737"/>
      <c r="S24" s="256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560"/>
      <c r="U24" s="2560"/>
      <c r="V24" s="2560"/>
      <c r="W24" s="2560"/>
      <c r="X24" s="2560"/>
      <c r="Y24" s="2560"/>
      <c r="Z24" s="2560"/>
      <c r="AA24" s="2560"/>
      <c r="AB24" s="2560"/>
      <c r="AC24" s="2560"/>
      <c r="AD24" s="2560"/>
      <c r="AE24" s="2560"/>
      <c r="AF24" s="2560"/>
      <c r="AG24" s="2560"/>
      <c r="AH24" s="2560"/>
      <c r="AI24" s="1608"/>
    </row>
    <row customHeight="1" ht="14.25">
      <c r="Q25" s="737"/>
      <c r="R25" s="737"/>
      <c r="S25" s="2561" t="str">
        <f>IF(org=0,"Не определено",org)</f>
        <v>АО "Мурманэнергосбыт"</v>
      </c>
      <c r="T25" s="2561"/>
      <c r="U25" s="2561"/>
      <c r="V25" s="2561"/>
      <c r="W25" s="2561"/>
      <c r="X25" s="2561"/>
      <c r="Y25" s="2561"/>
      <c r="Z25" s="2561"/>
      <c r="AA25" s="2561"/>
      <c r="AB25" s="2561"/>
      <c r="AC25" s="2561"/>
      <c r="AD25" s="2561"/>
      <c r="AE25" s="2561"/>
      <c r="AF25" s="2561"/>
      <c r="AG25" s="2561"/>
      <c r="AH25" s="2561"/>
      <c r="AI25" s="1608"/>
    </row>
    <row customHeight="1" ht="14.25">
      <c r="Q26" s="737"/>
      <c r="R26" s="737"/>
      <c r="S26" s="1641"/>
      <c r="T26" s="724"/>
      <c r="U26" s="724"/>
      <c r="V26" s="683"/>
      <c r="W26" s="683"/>
      <c r="X26" s="683"/>
      <c r="Y26" s="683"/>
      <c r="Z26" s="683"/>
      <c r="AA26" s="683"/>
      <c r="AB26" s="683"/>
      <c r="AC26" s="683"/>
      <c r="AD26" s="683"/>
      <c r="AE26" s="683"/>
      <c r="AF26" s="683"/>
      <c r="AG26" s="683"/>
      <c r="AH26" s="683"/>
      <c r="AI26" s="683"/>
      <c r="AJ26" s="870"/>
    </row>
    <row s="32230" customFormat="1" customHeight="1" ht="25.5">
      <c r="A27" s="1734"/>
      <c r="B27" s="1734"/>
      <c r="C27" s="1734"/>
      <c r="D27" s="1734"/>
      <c r="E27" s="1734"/>
      <c r="F27" s="1734"/>
      <c r="G27" s="1734"/>
      <c r="H27" s="1734"/>
      <c r="I27" s="1734"/>
      <c r="J27" s="1734"/>
      <c r="K27" s="1734"/>
      <c r="L27" s="1735"/>
      <c r="M27" s="1734"/>
      <c r="N27" s="1734"/>
      <c r="O27" s="1734"/>
      <c r="S27" s="2518" t="s">
        <v>38</v>
      </c>
      <c r="T27" s="2518"/>
      <c r="U27" s="1738"/>
      <c r="V27" s="2520" t="str">
        <f>IF(TITLE_NAME_OR_PR_CHANGE="",IF(TITLE_NAME_OR_PR="","",TITLE_NAME_OR_PR),TITLE_NAME_OR_PR_CHANGE)</f>
        <v>Комитет по тарифному регулированию Мурманской области</v>
      </c>
      <c r="W27" s="2520"/>
      <c r="X27" s="2520"/>
      <c r="Y27" s="2520"/>
      <c r="Z27" s="2520"/>
      <c r="AA27" s="2520"/>
      <c r="AB27" s="687"/>
      <c r="AC27" s="2520" t="str">
        <f>IF(TITLE_NAME_OR_PR_CHANGE="",IF(TITLE_NAME_OR_PR="","",TITLE_NAME_OR_PR),TITLE_NAME_OR_PR_CHANGE)</f>
        <v>Комитет по тарифному регулированию Мурманской области</v>
      </c>
      <c r="AD27" s="2520"/>
      <c r="AE27" s="2520"/>
      <c r="AF27" s="2520"/>
      <c r="AG27" s="2520"/>
      <c r="AH27" s="2520"/>
      <c r="AI27" s="687"/>
      <c r="AJ27" s="687"/>
      <c r="AK27" s="641"/>
      <c r="AL27" s="729"/>
      <c r="AM27" s="729"/>
      <c r="AN27" s="729"/>
      <c r="AO27" s="729"/>
      <c r="AP27" s="729"/>
    </row>
    <row s="32230" customFormat="1" customHeight="1" ht="18.75">
      <c r="A28" s="1734"/>
      <c r="B28" s="1734"/>
      <c r="C28" s="1734"/>
      <c r="D28" s="1734"/>
      <c r="E28" s="1734"/>
      <c r="F28" s="1734"/>
      <c r="G28" s="1734"/>
      <c r="H28" s="1734"/>
      <c r="I28" s="1734"/>
      <c r="J28" s="1734"/>
      <c r="K28" s="1734"/>
      <c r="L28" s="1735"/>
      <c r="M28" s="1734"/>
      <c r="N28" s="1734"/>
      <c r="O28" s="1734"/>
      <c r="S28" s="2518" t="s">
        <v>462</v>
      </c>
      <c r="T28" s="2518"/>
      <c r="U28" s="1738"/>
      <c r="V28" s="2519" t="str">
        <f>IF(TITLE_DATE_PR_CHANGE="",IF(TITLE_DATE_PR="","",TITLE_DATE_PR),TITLE_DATE_PR_CHANGE)</f>
        <v>45280</v>
      </c>
      <c r="W28" s="2519"/>
      <c r="X28" s="2519"/>
      <c r="Y28" s="2519"/>
      <c r="Z28" s="2519"/>
      <c r="AA28" s="2519"/>
      <c r="AB28" s="687"/>
      <c r="AC28" s="2519" t="str">
        <f>IF(TITLE_DATE_PR_CHANGE="",IF(TITLE_DATE_PR="","",TITLE_DATE_PR),TITLE_DATE_PR_CHANGE)</f>
        <v>45280</v>
      </c>
      <c r="AD28" s="2519"/>
      <c r="AE28" s="2519"/>
      <c r="AF28" s="2519"/>
      <c r="AG28" s="2519"/>
      <c r="AH28" s="2519"/>
      <c r="AI28" s="687"/>
      <c r="AJ28" s="687"/>
      <c r="AK28" s="641"/>
      <c r="AL28" s="729"/>
      <c r="AM28" s="729"/>
      <c r="AN28" s="729"/>
      <c r="AO28" s="729"/>
      <c r="AP28" s="729"/>
    </row>
    <row s="32230" customFormat="1" customHeight="1" ht="18.75">
      <c r="A29" s="1734"/>
      <c r="B29" s="1734"/>
      <c r="C29" s="1734"/>
      <c r="D29" s="1734"/>
      <c r="E29" s="1734"/>
      <c r="F29" s="1734"/>
      <c r="G29" s="1734"/>
      <c r="H29" s="1734"/>
      <c r="I29" s="1734"/>
      <c r="J29" s="1734"/>
      <c r="K29" s="1734"/>
      <c r="L29" s="1735"/>
      <c r="M29" s="1734"/>
      <c r="N29" s="1734"/>
      <c r="O29" s="1734"/>
      <c r="S29" s="2518" t="s">
        <v>463</v>
      </c>
      <c r="T29" s="2518"/>
      <c r="U29" s="1738"/>
      <c r="V29" s="2520" t="str">
        <f>IF(TITLE_NUMBER_PR_CHANGE="",IF(TITLE_NUMBER_PR="","",TITLE_NUMBER_PR),TITLE_NUMBER_PR_CHANGE)</f>
        <v>51/16</v>
      </c>
      <c r="W29" s="2520"/>
      <c r="X29" s="2520"/>
      <c r="Y29" s="2520"/>
      <c r="Z29" s="2520"/>
      <c r="AA29" s="2520"/>
      <c r="AB29" s="687"/>
      <c r="AC29" s="2520" t="str">
        <f>IF(TITLE_NUMBER_PR_CHANGE="",IF(TITLE_NUMBER_PR="","",TITLE_NUMBER_PR),TITLE_NUMBER_PR_CHANGE)</f>
        <v>51/16</v>
      </c>
      <c r="AD29" s="2520"/>
      <c r="AE29" s="2520"/>
      <c r="AF29" s="2520"/>
      <c r="AG29" s="2520"/>
      <c r="AH29" s="2520"/>
      <c r="AI29" s="687"/>
      <c r="AJ29" s="687"/>
      <c r="AK29" s="641"/>
      <c r="AL29" s="729"/>
      <c r="AM29" s="729"/>
      <c r="AN29" s="729"/>
      <c r="AO29" s="729"/>
      <c r="AP29" s="729"/>
    </row>
    <row s="32230" customFormat="1" customHeight="1" ht="18.75">
      <c r="A30" s="1734"/>
      <c r="B30" s="1734"/>
      <c r="C30" s="1734"/>
      <c r="D30" s="1734"/>
      <c r="E30" s="1734"/>
      <c r="F30" s="1734"/>
      <c r="G30" s="1734"/>
      <c r="H30" s="1734"/>
      <c r="I30" s="1734"/>
      <c r="J30" s="1734"/>
      <c r="K30" s="1734"/>
      <c r="L30" s="1735"/>
      <c r="M30" s="1734"/>
      <c r="N30" s="1734"/>
      <c r="O30" s="1734"/>
      <c r="S30" s="2518" t="s">
        <v>40</v>
      </c>
      <c r="T30" s="2518"/>
      <c r="U30" s="1738"/>
      <c r="V30" s="2520" t="str">
        <f>IF(TITLE_IST_PUB_CHANGE="",IF(TITLE_IST_PUB="","",TITLE_IST_PUB),TITLE_IST_PUB_CHANGE)</f>
        <v>https://npa.gov-murman.ru/bitrix/components/b1team/govmurman.element.file/download.php?ID=508455&amp;FID=750728</v>
      </c>
      <c r="W30" s="2520"/>
      <c r="X30" s="2520"/>
      <c r="Y30" s="2520"/>
      <c r="Z30" s="2520"/>
      <c r="AA30" s="2520"/>
      <c r="AB30" s="687"/>
      <c r="AC30" s="2520" t="str">
        <f>IF(TITLE_IST_PUB_CHANGE="",IF(TITLE_IST_PUB="","",TITLE_IST_PUB),TITLE_IST_PUB_CHANGE)</f>
        <v>https://npa.gov-murman.ru/bitrix/components/b1team/govmurman.element.file/download.php?ID=508455&amp;FID=750728</v>
      </c>
      <c r="AD30" s="2520"/>
      <c r="AE30" s="2520"/>
      <c r="AF30" s="2520"/>
      <c r="AG30" s="2520"/>
      <c r="AH30" s="2520"/>
      <c r="AI30" s="687"/>
      <c r="AJ30" s="687"/>
      <c r="AK30" s="641"/>
      <c r="AL30" s="729"/>
      <c r="AM30" s="729"/>
      <c r="AN30" s="729"/>
      <c r="AO30" s="729"/>
      <c r="AP30" s="729"/>
    </row>
    <row customHeight="1" ht="14.25" hidden="1">
      <c r="Q31" s="737"/>
      <c r="R31" s="737"/>
      <c r="S31" s="1641"/>
      <c r="T31" s="724"/>
      <c r="U31" s="724"/>
      <c r="V31" s="683"/>
      <c r="W31" s="683"/>
      <c r="X31" s="683"/>
      <c r="Y31" s="683"/>
      <c r="Z31" s="683"/>
      <c r="AA31" s="683"/>
      <c r="AB31" s="683"/>
      <c r="AC31" s="683"/>
      <c r="AD31" s="683"/>
      <c r="AE31" s="683"/>
      <c r="AF31" s="683"/>
      <c r="AG31" s="683"/>
      <c r="AH31" s="683"/>
      <c r="AI31" s="683"/>
      <c r="AJ31" s="870"/>
    </row>
    <row s="32230" customFormat="1" customHeight="1" ht="18.75" hidden="1">
      <c r="A32" s="1734"/>
      <c r="B32" s="1734"/>
      <c r="C32" s="1734"/>
      <c r="D32" s="1734"/>
      <c r="E32" s="1734"/>
      <c r="F32" s="1734"/>
      <c r="G32" s="1734"/>
      <c r="H32" s="1734"/>
      <c r="I32" s="1734"/>
      <c r="J32" s="1734"/>
      <c r="K32" s="1734"/>
      <c r="L32" s="1735"/>
      <c r="M32" s="1734"/>
      <c r="N32" s="1734"/>
      <c r="O32" s="1734"/>
      <c r="S32" s="2518" t="s">
        <v>464</v>
      </c>
      <c r="T32" s="2518"/>
      <c r="U32" s="1738"/>
      <c r="V32" s="2519" t="str">
        <f>IF(TITLE_DATE_PR_CHANGE="",IF(TITLE_DATE_PR="","",TITLE_DATE_PR),TITLE_DATE_PR_CHANGE)</f>
        <v>45280</v>
      </c>
      <c r="W32" s="2519"/>
      <c r="X32" s="2519"/>
      <c r="Y32" s="2519"/>
      <c r="Z32" s="2519"/>
      <c r="AA32" s="2519"/>
      <c r="AB32" s="687"/>
      <c r="AC32" s="2519" t="str">
        <f>IF(TITLE_DATE_PR_CHANGE="",IF(TITLE_DATE_PR="","",TITLE_DATE_PR),TITLE_DATE_PR_CHANGE)</f>
        <v>45280</v>
      </c>
      <c r="AD32" s="2519"/>
      <c r="AE32" s="2519"/>
      <c r="AF32" s="2519"/>
      <c r="AG32" s="2519"/>
      <c r="AH32" s="2519"/>
      <c r="AI32" s="687"/>
      <c r="AJ32" s="687"/>
      <c r="AK32" s="641"/>
      <c r="AL32" s="729"/>
      <c r="AM32" s="729"/>
      <c r="AN32" s="729"/>
      <c r="AO32" s="729"/>
      <c r="AP32" s="729"/>
    </row>
    <row s="32230" customFormat="1" customHeight="1" ht="18.75" hidden="1">
      <c r="A33" s="1734"/>
      <c r="B33" s="1734"/>
      <c r="C33" s="1734"/>
      <c r="D33" s="1734"/>
      <c r="E33" s="1734"/>
      <c r="F33" s="1734"/>
      <c r="G33" s="1734"/>
      <c r="H33" s="1734"/>
      <c r="I33" s="1734"/>
      <c r="J33" s="1734"/>
      <c r="K33" s="1734"/>
      <c r="L33" s="1735"/>
      <c r="M33" s="1734"/>
      <c r="N33" s="1734"/>
      <c r="O33" s="1734"/>
      <c r="S33" s="2518" t="s">
        <v>465</v>
      </c>
      <c r="T33" s="2518"/>
      <c r="U33" s="1738"/>
      <c r="V33" s="2520" t="str">
        <f>IF(TITLE_NUMBER_PR_CHANGE="",IF(TITLE_NUMBER_PR="","",TITLE_NUMBER_PR),TITLE_NUMBER_PR_CHANGE)</f>
        <v>51/16</v>
      </c>
      <c r="W33" s="2520"/>
      <c r="X33" s="2520"/>
      <c r="Y33" s="2520"/>
      <c r="Z33" s="2520"/>
      <c r="AA33" s="2520"/>
      <c r="AB33" s="687"/>
      <c r="AC33" s="2520" t="str">
        <f>IF(TITLE_NUMBER_PR_CHANGE="",IF(TITLE_NUMBER_PR="","",TITLE_NUMBER_PR),TITLE_NUMBER_PR_CHANGE)</f>
        <v>51/16</v>
      </c>
      <c r="AD33" s="2520"/>
      <c r="AE33" s="2520"/>
      <c r="AF33" s="2520"/>
      <c r="AG33" s="2520"/>
      <c r="AH33" s="2520"/>
      <c r="AI33" s="687"/>
      <c r="AJ33" s="687"/>
      <c r="AK33" s="641"/>
      <c r="AL33" s="729"/>
      <c r="AM33" s="729"/>
      <c r="AN33" s="729"/>
      <c r="AO33" s="729"/>
      <c r="AP33" s="729"/>
    </row>
    <row s="32230" customFormat="1" customHeight="1" ht="0.75">
      <c r="A34" s="1734"/>
      <c r="B34" s="1734"/>
      <c r="C34" s="1734"/>
      <c r="D34" s="1734"/>
      <c r="E34" s="1734"/>
      <c r="F34" s="1734"/>
      <c r="G34" s="1734"/>
      <c r="H34" s="1734"/>
      <c r="I34" s="1734"/>
      <c r="J34" s="1734"/>
      <c r="K34" s="1734"/>
      <c r="L34" s="1735"/>
      <c r="M34" s="1734"/>
      <c r="N34" s="1734"/>
      <c r="O34" s="1734"/>
      <c r="S34" s="684"/>
      <c r="T34" s="684"/>
      <c r="U34" s="1820"/>
      <c r="V34" s="687"/>
      <c r="W34" s="687"/>
      <c r="X34" s="687"/>
      <c r="Y34" s="687"/>
      <c r="Z34" s="687"/>
      <c r="AA34" s="687"/>
      <c r="AB34" s="639" t="s">
        <v>466</v>
      </c>
      <c r="AC34" s="687"/>
      <c r="AD34" s="687"/>
      <c r="AE34" s="687"/>
      <c r="AF34" s="687"/>
      <c r="AG34" s="687"/>
      <c r="AH34" s="687"/>
      <c r="AI34" s="639" t="s">
        <v>466</v>
      </c>
      <c r="AL34" s="729"/>
      <c r="AM34" s="729"/>
      <c r="AN34" s="729"/>
      <c r="AO34" s="729"/>
      <c r="AP34" s="729"/>
    </row>
    <row customHeight="1" ht="14.25">
      <c r="Q35" s="737"/>
      <c r="R35" s="737"/>
      <c r="S35" s="1641"/>
      <c r="T35" s="724"/>
      <c r="U35" s="1609"/>
      <c r="V35" s="2544"/>
      <c r="W35" s="2544"/>
      <c r="X35" s="2544"/>
      <c r="Y35" s="2544"/>
      <c r="Z35" s="2544"/>
      <c r="AA35" s="2544"/>
      <c r="AB35" s="2544"/>
      <c r="AC35" s="2544"/>
      <c r="AD35" s="2544"/>
      <c r="AE35" s="2544"/>
      <c r="AF35" s="2544"/>
      <c r="AG35" s="2544"/>
      <c r="AH35" s="2544"/>
      <c r="AI35" s="2544"/>
    </row>
    <row customHeight="1" ht="14.25">
      <c r="Q36" s="737"/>
      <c r="R36" s="737"/>
      <c r="S36" s="2392" t="s">
        <v>341</v>
      </c>
      <c r="T36" s="2392"/>
      <c r="U36" s="2392"/>
      <c r="V36" s="2392"/>
      <c r="W36" s="2392"/>
      <c r="X36" s="2392"/>
      <c r="Y36" s="2392"/>
      <c r="Z36" s="2392"/>
      <c r="AA36" s="2392"/>
      <c r="AB36" s="2392"/>
      <c r="AC36" s="2392"/>
      <c r="AD36" s="2392"/>
      <c r="AE36" s="2392"/>
      <c r="AF36" s="2392"/>
      <c r="AG36" s="2392"/>
      <c r="AH36" s="2392"/>
      <c r="AI36" s="2392"/>
      <c r="AJ36" s="2392"/>
      <c r="AK36" s="2392" t="s">
        <v>342</v>
      </c>
    </row>
    <row customHeight="1" ht="14.25">
      <c r="Q37" s="737"/>
      <c r="R37" s="737"/>
      <c r="S37" s="2545" t="s">
        <v>87</v>
      </c>
      <c r="T37" s="2482" t="s">
        <v>467</v>
      </c>
      <c r="U37" s="662"/>
      <c r="V37" s="2546" t="s">
        <v>468</v>
      </c>
      <c r="W37" s="2547"/>
      <c r="X37" s="2547"/>
      <c r="Y37" s="2547"/>
      <c r="Z37" s="2547"/>
      <c r="AA37" s="2548"/>
      <c r="AB37" s="2549" t="s">
        <v>469</v>
      </c>
      <c r="AC37" s="2546" t="s">
        <v>468</v>
      </c>
      <c r="AD37" s="2547"/>
      <c r="AE37" s="2547"/>
      <c r="AF37" s="2547"/>
      <c r="AG37" s="2547"/>
      <c r="AH37" s="2548"/>
      <c r="AI37" s="2549" t="s">
        <v>470</v>
      </c>
      <c r="AJ37" s="2552" t="s">
        <v>471</v>
      </c>
      <c r="AK37" s="2392"/>
    </row>
    <row customHeight="1" ht="33.75">
      <c r="Q38" s="737"/>
      <c r="R38" s="737"/>
      <c r="S38" s="2545"/>
      <c r="T38" s="2482"/>
      <c r="U38" s="1393"/>
      <c r="V38" s="1818" t="s">
        <v>528</v>
      </c>
      <c r="W38" s="2538" t="s">
        <v>474</v>
      </c>
      <c r="X38" s="2540"/>
      <c r="Y38" s="2538" t="s">
        <v>475</v>
      </c>
      <c r="Z38" s="2539"/>
      <c r="AA38" s="2540"/>
      <c r="AB38" s="2550"/>
      <c r="AC38" s="1818" t="s">
        <v>528</v>
      </c>
      <c r="AD38" s="2538" t="s">
        <v>474</v>
      </c>
      <c r="AE38" s="2540"/>
      <c r="AF38" s="2538" t="s">
        <v>475</v>
      </c>
      <c r="AG38" s="2539"/>
      <c r="AH38" s="2540"/>
      <c r="AI38" s="2550"/>
      <c r="AJ38" s="2553"/>
      <c r="AK38" s="2392"/>
    </row>
    <row customHeight="1" ht="33.75">
      <c r="A39" s="1736"/>
      <c r="B39" s="1736" t="s">
        <v>143</v>
      </c>
      <c r="C39" s="1736" t="s">
        <v>144</v>
      </c>
      <c r="D39" s="1736" t="s">
        <v>145</v>
      </c>
      <c r="E39" s="1730" t="s">
        <v>476</v>
      </c>
      <c r="F39" s="1730" t="s">
        <v>477</v>
      </c>
      <c r="G39" s="1730" t="s">
        <v>478</v>
      </c>
      <c r="H39" s="1730"/>
      <c r="I39" s="1730" t="s">
        <v>529</v>
      </c>
      <c r="J39" s="1730" t="s">
        <v>481</v>
      </c>
      <c r="K39" s="1730" t="s">
        <v>530</v>
      </c>
      <c r="L39" s="1730" t="s">
        <v>457</v>
      </c>
      <c r="Q39" s="737"/>
      <c r="R39" s="737"/>
      <c r="S39" s="2545"/>
      <c r="T39" s="2482"/>
      <c r="U39" s="663"/>
      <c r="V39" s="1818" t="s">
        <v>531</v>
      </c>
      <c r="W39" s="1587" t="s">
        <v>532</v>
      </c>
      <c r="X39" s="1587" t="s">
        <v>533</v>
      </c>
      <c r="Y39" s="1821" t="s">
        <v>485</v>
      </c>
      <c r="Z39" s="2541" t="s">
        <v>486</v>
      </c>
      <c r="AA39" s="2542"/>
      <c r="AB39" s="2551"/>
      <c r="AC39" s="1818" t="s">
        <v>531</v>
      </c>
      <c r="AD39" s="1587" t="s">
        <v>532</v>
      </c>
      <c r="AE39" s="1587" t="s">
        <v>533</v>
      </c>
      <c r="AF39" s="1821" t="s">
        <v>485</v>
      </c>
      <c r="AG39" s="2541" t="s">
        <v>486</v>
      </c>
      <c r="AH39" s="2542"/>
      <c r="AI39" s="2551"/>
      <c r="AJ39" s="2554"/>
      <c r="AK39" s="2392"/>
    </row>
    <row s="32049" customFormat="1" customHeight="1" ht="0">
      <c r="A40" s="1736"/>
      <c r="B40" s="1736"/>
      <c r="C40" s="1736"/>
      <c r="D40" s="1736"/>
      <c r="E40" s="1736"/>
      <c r="F40" s="1736"/>
      <c r="G40" s="1736"/>
      <c r="H40" s="1736"/>
      <c r="I40" s="1736"/>
      <c r="J40" s="1736"/>
      <c r="K40" s="1736"/>
      <c r="L40" s="1730"/>
      <c r="M40" s="1728"/>
      <c r="N40" s="1728"/>
      <c r="O40" s="1728"/>
      <c r="P40" s="1611"/>
      <c r="Q40" s="1612"/>
      <c r="R40" s="1619">
        <v>1</v>
      </c>
      <c r="S40" s="1643" t="s">
        <v>118</v>
      </c>
      <c r="T40" s="1620" t="s">
        <v>102</v>
      </c>
      <c r="U40" s="1610" t="str">
        <f>OFFSET(U40,0,-1)</f>
        <v>2</v>
      </c>
      <c r="V40" s="1817">
        <f>OFFSET(V40,0,-1)+1</f>
        <v>3</v>
      </c>
      <c r="W40" s="1817">
        <f>OFFSET(W40,0,-1)+1</f>
        <v>4</v>
      </c>
      <c r="X40" s="1817">
        <f>OFFSET(X40,0,-1)+1</f>
        <v>5</v>
      </c>
      <c r="Y40" s="1817">
        <f>OFFSET(Y40,0,-1)+1</f>
        <v>6</v>
      </c>
      <c r="Z40" s="2543">
        <f>OFFSET(Z40,0,-1)+1</f>
        <v>7</v>
      </c>
      <c r="AA40" s="2543"/>
      <c r="AB40" s="1817">
        <f>OFFSET(AB40,0,-2)+1</f>
        <v>8</v>
      </c>
      <c r="AC40" s="1817">
        <f>OFFSET(AC40,0,-1)+1</f>
        <v>9</v>
      </c>
      <c r="AD40" s="1817">
        <f>OFFSET(AD40,0,-1)+1</f>
        <v>10</v>
      </c>
      <c r="AE40" s="1817">
        <f>OFFSET(AE40,0,-1)+1</f>
        <v>11</v>
      </c>
      <c r="AF40" s="1817">
        <f>OFFSET(AF40,0,-1)+1</f>
        <v>12</v>
      </c>
      <c r="AG40" s="2543">
        <f>OFFSET(AG40,0,-1)+1</f>
        <v>13</v>
      </c>
      <c r="AH40" s="2543"/>
      <c r="AI40" s="1817">
        <f>OFFSET(AI40,0,-2)+1</f>
        <v>14</v>
      </c>
      <c r="AJ40" s="1610">
        <f>OFFSET(AJ40,0,-1)</f>
        <v>14</v>
      </c>
      <c r="AK40" s="1817">
        <f>OFFSET(AK40,0,-1)+1</f>
        <v>15</v>
      </c>
      <c r="AL40" s="872"/>
      <c r="AM40" s="872"/>
      <c r="AN40" s="872"/>
      <c r="AO40" s="872"/>
      <c r="AP40" s="872"/>
    </row>
    <row customHeight="1" ht="23.25">
      <c r="A41" s="1729" t="s">
        <v>240</v>
      </c>
      <c r="B41" s="1729"/>
      <c r="C41" s="1729"/>
      <c r="D41" s="1729"/>
      <c r="E41" s="2527">
        <v>1</v>
      </c>
      <c r="F41" s="1729"/>
      <c r="G41" s="1729"/>
      <c r="H41" s="1729"/>
      <c r="I41" s="1729"/>
      <c r="J41" s="1729"/>
      <c r="K41" s="1729"/>
      <c r="L41" s="1730"/>
      <c r="M41" s="1731"/>
      <c r="N41" s="1731"/>
      <c r="O41" s="1731"/>
      <c r="P41" s="722"/>
      <c r="Q41" s="721"/>
      <c r="R41" s="716"/>
      <c r="S41" s="1823">
        <f>INDEX(PT_DIFFERENTIATION_NUM_NTAR,MATCH(A41,PT_DIFFERENTIATION_NTAR_ID,0))</f>
        <v>0</v>
      </c>
      <c r="T41" s="659" t="s">
        <v>131</v>
      </c>
      <c r="U41" s="661"/>
      <c r="V41" s="2521"/>
      <c r="W41" s="2522"/>
      <c r="X41" s="2522"/>
      <c r="Y41" s="2522"/>
      <c r="Z41" s="2522"/>
      <c r="AA41" s="2522"/>
      <c r="AB41" s="2523"/>
      <c r="AC41" s="2521" t="str">
        <f>INDEX(PT_DIFFERENTIATION_NTAR,MATCH(A41,PT_DIFFERENTIATION_NTAR_ID,0))</f>
        <v/>
      </c>
      <c r="AD41" s="2522"/>
      <c r="AE41" s="2522"/>
      <c r="AF41" s="2522"/>
      <c r="AG41" s="2522"/>
      <c r="AH41" s="2522"/>
      <c r="AI41" s="2522"/>
      <c r="AJ41" s="2523"/>
      <c r="AK41"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861"/>
      <c r="AN41" s="861" t="str">
        <f>IF(T41="","",T41)</f>
        <v>Наименование тарифа</v>
      </c>
      <c r="AO41" s="861"/>
      <c r="AP41" s="861"/>
    </row>
    <row customHeight="1" ht="23.25">
      <c r="A42" s="1729" t="s">
        <v>240</v>
      </c>
      <c r="B42" s="1729" t="s">
        <v>241</v>
      </c>
      <c r="C42" s="1729"/>
      <c r="D42" s="1729"/>
      <c r="E42" s="2528"/>
      <c r="F42" s="2527">
        <v>1</v>
      </c>
      <c r="G42" s="1729"/>
      <c r="H42" s="1729"/>
      <c r="I42" s="1729"/>
      <c r="J42" s="1729"/>
      <c r="K42" s="1729"/>
      <c r="L42" s="1730"/>
      <c r="M42" s="1731"/>
      <c r="N42" s="1731"/>
      <c r="O42" s="1731"/>
      <c r="P42" s="1819"/>
      <c r="Q42" s="713"/>
      <c r="R42" s="714"/>
      <c r="S42" s="1823" t="str">
        <f>INDEX(PT_DIFFERENTIATION_NUM_TER,MATCH(B42,PT_DIFFERENTIATION_TER_ID,0))</f>
        <v>.</v>
      </c>
      <c r="T42" s="669" t="s">
        <v>438</v>
      </c>
      <c r="U42" s="661"/>
      <c r="V42" s="2521"/>
      <c r="W42" s="2522"/>
      <c r="X42" s="2522"/>
      <c r="Y42" s="2522"/>
      <c r="Z42" s="2522"/>
      <c r="AA42" s="2522"/>
      <c r="AB42" s="2523"/>
      <c r="AC42" s="2521" t="str">
        <f>INDEX(PT_DIFFERENTIATION_TER,MATCH(B42,PT_DIFFERENTIATION_TER_ID,0))</f>
        <v/>
      </c>
      <c r="AD42" s="2522"/>
      <c r="AE42" s="2522"/>
      <c r="AF42" s="2522"/>
      <c r="AG42" s="2522"/>
      <c r="AH42" s="2522"/>
      <c r="AI42" s="2522"/>
      <c r="AJ42" s="2523"/>
      <c r="AK42" s="1623" t="s">
        <v>439</v>
      </c>
      <c r="AM42" s="861"/>
      <c r="AN42" s="861" t="str">
        <f>IF(T42="","",T42)</f>
        <v>Территория действия тарифа</v>
      </c>
      <c r="AO42" s="861"/>
      <c r="AP42" s="861"/>
    </row>
    <row customHeight="1" ht="23.25">
      <c r="A43" s="1729" t="s">
        <v>240</v>
      </c>
      <c r="B43" s="1729" t="s">
        <v>241</v>
      </c>
      <c r="C43" s="1729" t="s">
        <v>242</v>
      </c>
      <c r="D43" s="1729"/>
      <c r="E43" s="2528"/>
      <c r="F43" s="2528"/>
      <c r="G43" s="2527">
        <v>1</v>
      </c>
      <c r="H43" s="1729"/>
      <c r="I43" s="1729"/>
      <c r="J43" s="1729"/>
      <c r="K43" s="1729"/>
      <c r="L43" s="1730"/>
      <c r="M43" s="1731"/>
      <c r="N43" s="1731"/>
      <c r="O43" s="1731"/>
      <c r="P43" s="715"/>
      <c r="Q43" s="713"/>
      <c r="R43" s="714"/>
      <c r="S43" s="1823" t="str">
        <f>INDEX(PT_DIFFERENTIATION_NUM_CS,MATCH(C43,PT_DIFFERENTIATION_CS_ID,0))</f>
        <v>..</v>
      </c>
      <c r="T43" s="670" t="s">
        <v>520</v>
      </c>
      <c r="U43" s="661"/>
      <c r="V43" s="2521"/>
      <c r="W43" s="2522"/>
      <c r="X43" s="2522"/>
      <c r="Y43" s="2522"/>
      <c r="Z43" s="2522"/>
      <c r="AA43" s="2522"/>
      <c r="AB43" s="2523"/>
      <c r="AC43" s="2521" t="str">
        <f>INDEX(PT_DIFFERENTIATION_CS,MATCH(C43,PT_DIFFERENTIATION_CS_ID,0))</f>
        <v/>
      </c>
      <c r="AD43" s="2522"/>
      <c r="AE43" s="2522"/>
      <c r="AF43" s="2522"/>
      <c r="AG43" s="2522"/>
      <c r="AH43" s="2522"/>
      <c r="AI43" s="2522"/>
      <c r="AJ43" s="2523"/>
      <c r="AK43" s="1623" t="s">
        <v>521</v>
      </c>
      <c r="AM43" s="861"/>
      <c r="AN43" s="861" t="str">
        <f>IF(T43="","",T43)</f>
        <v>Наименование централизованной системы холодного водоснабжения</v>
      </c>
      <c r="AO43" s="861"/>
      <c r="AP43" s="861"/>
    </row>
    <row customHeight="1" ht="23.25">
      <c r="A44" s="1729" t="s">
        <v>240</v>
      </c>
      <c r="B44" s="1729" t="s">
        <v>241</v>
      </c>
      <c r="C44" s="1729" t="s">
        <v>242</v>
      </c>
      <c r="D44" s="1729" t="s">
        <v>536</v>
      </c>
      <c r="E44" s="2528"/>
      <c r="F44" s="2528"/>
      <c r="G44" s="2528"/>
      <c r="H44" s="2528"/>
      <c r="I44" s="2529" t="str">
        <f>S43&amp;".1"</f>
        <v>...1</v>
      </c>
      <c r="J44" s="1729"/>
      <c r="K44" s="1729"/>
      <c r="L44" s="1730"/>
      <c r="P44" s="2531">
        <v>1</v>
      </c>
      <c r="Q44" s="1816"/>
      <c r="R44" s="717"/>
      <c r="S44" s="1823" t="str">
        <f>$I44</f>
        <v>...1</v>
      </c>
      <c r="T44" s="646" t="s">
        <v>522</v>
      </c>
      <c r="U44" s="661"/>
      <c r="V44" s="2614"/>
      <c r="W44" s="2615"/>
      <c r="X44" s="2615"/>
      <c r="Y44" s="2615"/>
      <c r="Z44" s="2615"/>
      <c r="AA44" s="2615"/>
      <c r="AB44" s="2616"/>
      <c r="AC44" s="2617"/>
      <c r="AD44" s="2618"/>
      <c r="AE44" s="2618"/>
      <c r="AF44" s="2618"/>
      <c r="AG44" s="2618"/>
      <c r="AH44" s="2618"/>
      <c r="AI44" s="2618"/>
      <c r="AJ44" s="2619"/>
      <c r="AK44" s="1623" t="s">
        <v>523</v>
      </c>
      <c r="AM44" s="861"/>
      <c r="AN44" s="861" t="str">
        <f>IF(T44="","",T44)</f>
        <v>Наименование признака дифференциации</v>
      </c>
      <c r="AO44" s="861"/>
      <c r="AP44" s="861"/>
    </row>
    <row customHeight="1" ht="23.25">
      <c r="A45" s="1729" t="s">
        <v>240</v>
      </c>
      <c r="B45" s="1729" t="s">
        <v>241</v>
      </c>
      <c r="C45" s="1729" t="s">
        <v>242</v>
      </c>
      <c r="D45" s="1729" t="s">
        <v>536</v>
      </c>
      <c r="E45" s="2528"/>
      <c r="F45" s="2528"/>
      <c r="G45" s="2528"/>
      <c r="H45" s="2528"/>
      <c r="I45" s="2530"/>
      <c r="J45" s="2529" t="str">
        <f>I44&amp;".1"</f>
        <v>...1.1</v>
      </c>
      <c r="K45" s="1729"/>
      <c r="L45" s="1730" t="s">
        <v>447</v>
      </c>
      <c r="P45" s="2531"/>
      <c r="Q45" s="2531">
        <v>1</v>
      </c>
      <c r="R45" s="718"/>
      <c r="S45" s="1823" t="str">
        <f>$J45</f>
        <v>...1.1</v>
      </c>
      <c r="T45" s="647" t="s">
        <v>448</v>
      </c>
      <c r="U45" s="661"/>
      <c r="V45" s="2515"/>
      <c r="W45" s="2516"/>
      <c r="X45" s="2516"/>
      <c r="Y45" s="2516"/>
      <c r="Z45" s="2516"/>
      <c r="AA45" s="2516"/>
      <c r="AB45" s="2517"/>
      <c r="AC45" s="2515"/>
      <c r="AD45" s="2516"/>
      <c r="AE45" s="2516"/>
      <c r="AF45" s="2516"/>
      <c r="AG45" s="2516"/>
      <c r="AH45" s="2516"/>
      <c r="AI45" s="2516"/>
      <c r="AJ45" s="2517"/>
      <c r="AK45" s="1673" t="s">
        <v>524</v>
      </c>
      <c r="AM45" s="861"/>
      <c r="AN45" s="861" t="str">
        <f>IF(T45="","",T45)</f>
        <v>Группа потребителей</v>
      </c>
      <c r="AO45" s="861"/>
      <c r="AP45" s="861"/>
    </row>
    <row customHeight="1" ht="23.25">
      <c r="A46" s="1729" t="s">
        <v>240</v>
      </c>
      <c r="B46" s="1729" t="s">
        <v>241</v>
      </c>
      <c r="C46" s="1729" t="s">
        <v>242</v>
      </c>
      <c r="D46" s="1729" t="s">
        <v>536</v>
      </c>
      <c r="E46" s="2528"/>
      <c r="F46" s="2528"/>
      <c r="G46" s="2528"/>
      <c r="H46" s="2528"/>
      <c r="I46" s="2530"/>
      <c r="J46" s="2530"/>
      <c r="K46" s="2529" t="str">
        <f>J45&amp;".1"</f>
        <v>...1.1.1</v>
      </c>
      <c r="L46" s="1730"/>
      <c r="P46" s="2531"/>
      <c r="Q46" s="2531"/>
      <c r="R46" s="718">
        <v>1</v>
      </c>
      <c r="S46" s="1823" t="str">
        <f>$K46</f>
        <v>...1.1.1</v>
      </c>
      <c r="T46" s="1803"/>
      <c r="U46" s="661"/>
      <c r="V46" s="1112"/>
      <c r="W46" s="1112"/>
      <c r="X46" s="1622"/>
      <c r="Y46" s="2532"/>
      <c r="Z46" s="2402" t="s">
        <v>66</v>
      </c>
      <c r="AA46" s="2532"/>
      <c r="AB46" s="2402" t="s">
        <v>66</v>
      </c>
      <c r="AC46" s="1112"/>
      <c r="AD46" s="1112"/>
      <c r="AE46" s="1622"/>
      <c r="AF46" s="2532"/>
      <c r="AG46" s="2402" t="s">
        <v>66</v>
      </c>
      <c r="AH46" s="2534"/>
      <c r="AI46" s="2402" t="s">
        <v>66</v>
      </c>
      <c r="AJ46" s="1804"/>
      <c r="AK46" s="26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72">
        <f>STRCHECKDATE(V47:AJ47)</f>
      </c>
      <c r="AM46" s="861"/>
      <c r="AN46" s="861" t="str">
        <f>IF(T46="","",T46)</f>
        <v/>
      </c>
      <c r="AO46" s="861"/>
      <c r="AP46" s="861"/>
    </row>
    <row customHeight="1" ht="0">
      <c r="A47" s="1729" t="s">
        <v>240</v>
      </c>
      <c r="B47" s="1729" t="s">
        <v>241</v>
      </c>
      <c r="C47" s="1729" t="s">
        <v>242</v>
      </c>
      <c r="D47" s="1729" t="s">
        <v>536</v>
      </c>
      <c r="E47" s="2528"/>
      <c r="F47" s="2528"/>
      <c r="G47" s="2528"/>
      <c r="H47" s="2528"/>
      <c r="I47" s="2530"/>
      <c r="J47" s="2530"/>
      <c r="K47" s="2529"/>
      <c r="L47" s="1730"/>
      <c r="P47" s="2531"/>
      <c r="Q47" s="2531"/>
      <c r="R47" s="718"/>
      <c r="S47" s="1822"/>
      <c r="T47" s="661"/>
      <c r="U47" s="661"/>
      <c r="V47" s="686"/>
      <c r="W47" s="686"/>
      <c r="X47" s="689" t="str">
        <f>Y46&amp;"-"&amp;AA46</f>
        <v>-</v>
      </c>
      <c r="Y47" s="2533"/>
      <c r="Z47" s="2402"/>
      <c r="AA47" s="2533"/>
      <c r="AB47" s="2402"/>
      <c r="AC47" s="686"/>
      <c r="AD47" s="686"/>
      <c r="AE47" s="689" t="str">
        <f>AF46&amp;"-"&amp;AH46</f>
        <v>-</v>
      </c>
      <c r="AF47" s="2533"/>
      <c r="AG47" s="2402"/>
      <c r="AH47" s="2535"/>
      <c r="AI47" s="2402"/>
      <c r="AJ47" s="1805"/>
      <c r="AK47" s="2620"/>
      <c r="AM47" s="861"/>
      <c r="AN47" s="861" t="str">
        <f>IF(T47="","",T47)</f>
        <v/>
      </c>
      <c r="AO47" s="861"/>
      <c r="AP47" s="861"/>
    </row>
    <row customHeight="1" ht="21">
      <c r="A48" s="1729" t="s">
        <v>240</v>
      </c>
      <c r="B48" s="1729" t="s">
        <v>241</v>
      </c>
      <c r="C48" s="1729" t="s">
        <v>242</v>
      </c>
      <c r="D48" s="1729" t="s">
        <v>536</v>
      </c>
      <c r="E48" s="2528"/>
      <c r="F48" s="2528"/>
      <c r="G48" s="2528"/>
      <c r="H48" s="2528"/>
      <c r="I48" s="2530"/>
      <c r="J48" s="2529"/>
      <c r="K48" s="1729"/>
      <c r="L48" s="1730"/>
      <c r="P48" s="2531"/>
      <c r="Q48" s="2531"/>
      <c r="R48" s="717"/>
      <c r="S48" s="1644"/>
      <c r="T48" s="648" t="s">
        <v>525</v>
      </c>
      <c r="U48" s="728"/>
      <c r="V48" s="728"/>
      <c r="W48" s="728"/>
      <c r="X48" s="728"/>
      <c r="Y48" s="728"/>
      <c r="Z48" s="728"/>
      <c r="AA48" s="728"/>
      <c r="AB48" s="728"/>
      <c r="AC48" s="728"/>
      <c r="AD48" s="728"/>
      <c r="AE48" s="728"/>
      <c r="AF48" s="728"/>
      <c r="AG48" s="728"/>
      <c r="AH48" s="728"/>
      <c r="AI48" s="728"/>
      <c r="AJ48" s="728"/>
      <c r="AK48" s="1623" t="s">
        <v>526</v>
      </c>
      <c r="AM48" s="861"/>
      <c r="AN48" s="861" t="str">
        <f>IF(T48="","",T48)</f>
        <v>Добавить значение признака дифференциации</v>
      </c>
      <c r="AO48" s="861"/>
      <c r="AP48" s="861"/>
    </row>
    <row customHeight="1" ht="21">
      <c r="A49" s="1729" t="s">
        <v>240</v>
      </c>
      <c r="B49" s="1729" t="s">
        <v>241</v>
      </c>
      <c r="C49" s="1729" t="s">
        <v>242</v>
      </c>
      <c r="D49" s="1729" t="s">
        <v>536</v>
      </c>
      <c r="E49" s="2528"/>
      <c r="F49" s="2528"/>
      <c r="G49" s="2528"/>
      <c r="H49" s="2528"/>
      <c r="I49" s="2529"/>
      <c r="J49" s="1729"/>
      <c r="K49" s="1729"/>
      <c r="L49" s="1730"/>
      <c r="P49" s="2531"/>
      <c r="Q49" s="1816"/>
      <c r="R49" s="717"/>
      <c r="S49" s="1644"/>
      <c r="T49" s="726" t="s">
        <v>453</v>
      </c>
      <c r="U49" s="728"/>
      <c r="V49" s="728"/>
      <c r="W49" s="728"/>
      <c r="X49" s="728"/>
      <c r="Y49" s="728"/>
      <c r="Z49" s="728"/>
      <c r="AA49" s="728"/>
      <c r="AB49" s="727"/>
      <c r="AC49" s="728"/>
      <c r="AD49" s="728"/>
      <c r="AE49" s="728"/>
      <c r="AF49" s="728"/>
      <c r="AG49" s="728"/>
      <c r="AH49" s="728"/>
      <c r="AI49" s="727"/>
      <c r="AJ49" s="728"/>
      <c r="AK49" s="1806"/>
      <c r="AM49" s="861"/>
      <c r="AN49" s="861" t="str">
        <f>IF(T49="","",T49)</f>
        <v>Добавить группу потребителей</v>
      </c>
      <c r="AO49" s="861"/>
      <c r="AP49" s="861"/>
    </row>
    <row customHeight="1" ht="21">
      <c r="A50" s="1729" t="s">
        <v>240</v>
      </c>
      <c r="B50" s="1729" t="s">
        <v>241</v>
      </c>
      <c r="C50" s="1729" t="s">
        <v>242</v>
      </c>
      <c r="D50" s="1729" t="s">
        <v>536</v>
      </c>
      <c r="E50" s="2528"/>
      <c r="F50" s="2528"/>
      <c r="G50" s="2528"/>
      <c r="H50" s="2527"/>
      <c r="I50" s="1729"/>
      <c r="J50" s="1729"/>
      <c r="K50" s="1729"/>
      <c r="L50" s="1730"/>
      <c r="M50" s="1731"/>
      <c r="N50" s="1731"/>
      <c r="O50" s="898"/>
      <c r="P50" s="721"/>
      <c r="Q50" s="736"/>
      <c r="R50" s="716"/>
      <c r="S50" s="1644"/>
      <c r="T50" s="733" t="s">
        <v>527</v>
      </c>
      <c r="U50" s="728"/>
      <c r="V50" s="728"/>
      <c r="W50" s="728"/>
      <c r="X50" s="728"/>
      <c r="Y50" s="728"/>
      <c r="Z50" s="728"/>
      <c r="AA50" s="728"/>
      <c r="AB50" s="727"/>
      <c r="AC50" s="728"/>
      <c r="AD50" s="728"/>
      <c r="AE50" s="728"/>
      <c r="AF50" s="728"/>
      <c r="AG50" s="728"/>
      <c r="AH50" s="728"/>
      <c r="AI50" s="727"/>
      <c r="AJ50" s="728"/>
      <c r="AK50" s="664"/>
      <c r="AM50" s="861"/>
      <c r="AN50" s="861" t="str">
        <f>IF(T50="","",T50)</f>
        <v>Добавить наименование признака дифференциации</v>
      </c>
      <c r="AO50" s="861"/>
      <c r="AP50" s="861"/>
    </row>
    <row s="32198" customFormat="1" customHeight="1" ht="0">
      <c r="A51" s="1709" t="s">
        <v>240</v>
      </c>
      <c r="B51" s="1709" t="s">
        <v>241</v>
      </c>
      <c r="C51" s="1680"/>
      <c r="D51" s="1680"/>
      <c r="E51" s="2528"/>
      <c r="F51" s="2527"/>
      <c r="G51" s="1680"/>
      <c r="H51" s="1680"/>
      <c r="I51" s="1680"/>
      <c r="J51" s="1680"/>
      <c r="K51" s="1680"/>
      <c r="L51" s="1824"/>
      <c r="M51" s="1687"/>
      <c r="N51" s="1687"/>
      <c r="P51" s="1682"/>
      <c r="Q51" s="1683"/>
      <c r="R51" s="1682"/>
      <c r="S51" s="1688"/>
      <c r="T51" s="1691" t="s">
        <v>262</v>
      </c>
      <c r="U51" s="1690"/>
      <c r="V51" s="1690"/>
      <c r="W51" s="1690"/>
      <c r="X51" s="1690"/>
      <c r="Y51" s="1690"/>
      <c r="Z51" s="1690"/>
      <c r="AA51" s="1690"/>
      <c r="AB51" s="1690"/>
      <c r="AC51" s="1690"/>
      <c r="AD51" s="1690"/>
      <c r="AE51" s="1690"/>
      <c r="AF51" s="1690"/>
      <c r="AG51" s="1690"/>
      <c r="AH51" s="1690"/>
      <c r="AI51" s="1690"/>
      <c r="AJ51" s="1690"/>
      <c r="AK51" s="1690"/>
      <c r="AM51" s="1150"/>
      <c r="AN51" s="1150" t="str">
        <f>IF(T51="","",T51)</f>
        <v>Добавить централизованную систему для дифференциации</v>
      </c>
      <c r="AO51" s="1150"/>
      <c r="AP51" s="1150"/>
    </row>
    <row s="32289" customFormat="1" customHeight="1" ht="0">
      <c r="A52" s="1709" t="s">
        <v>240</v>
      </c>
      <c r="B52" s="1709"/>
      <c r="C52" s="1709"/>
      <c r="D52" s="1709"/>
      <c r="E52" s="2527"/>
      <c r="F52" s="1709"/>
      <c r="G52" s="1709"/>
      <c r="H52" s="1709"/>
      <c r="I52" s="1709"/>
      <c r="J52" s="1709"/>
      <c r="K52" s="1709"/>
      <c r="L52" s="1712"/>
      <c r="M52" s="1687"/>
      <c r="N52" s="1687"/>
      <c r="O52" s="879"/>
      <c r="P52" s="741"/>
      <c r="Q52" s="1710"/>
      <c r="R52" s="741"/>
      <c r="S52" s="1688"/>
      <c r="T52" s="1691" t="s">
        <v>270</v>
      </c>
      <c r="U52" s="1690"/>
      <c r="V52" s="1690"/>
      <c r="W52" s="1690"/>
      <c r="X52" s="1690"/>
      <c r="Y52" s="1690"/>
      <c r="Z52" s="1690"/>
      <c r="AA52" s="1690"/>
      <c r="AB52" s="1690"/>
      <c r="AC52" s="1690"/>
      <c r="AD52" s="1690"/>
      <c r="AE52" s="1690"/>
      <c r="AF52" s="1690"/>
      <c r="AG52" s="1690"/>
      <c r="AH52" s="1690"/>
      <c r="AI52" s="1690"/>
      <c r="AJ52" s="1690"/>
      <c r="AK52" s="1690"/>
      <c r="AM52" s="861"/>
      <c r="AN52" s="861" t="str">
        <f>IF(T52="","",T52)</f>
        <v>Добавить территорию для дифференциации</v>
      </c>
      <c r="AO52" s="861"/>
      <c r="AP52" s="861"/>
    </row>
    <row s="32198" customFormat="1" customHeight="1" ht="0">
      <c r="A53" s="1680"/>
      <c r="B53" s="1680"/>
      <c r="C53" s="1680"/>
      <c r="D53" s="1680"/>
      <c r="E53" s="1709"/>
      <c r="F53" s="1680"/>
      <c r="G53" s="1680"/>
      <c r="H53" s="1680"/>
      <c r="I53" s="1680"/>
      <c r="J53" s="1680"/>
      <c r="K53" s="1680"/>
      <c r="L53" s="1824"/>
      <c r="M53" s="1687"/>
      <c r="N53" s="1687"/>
      <c r="P53" s="1682"/>
      <c r="Q53" s="1683"/>
      <c r="R53" s="1682"/>
      <c r="S53" s="1688"/>
      <c r="T53" s="1691" t="s">
        <v>294</v>
      </c>
      <c r="U53" s="1690"/>
      <c r="V53" s="1690"/>
      <c r="W53" s="1690"/>
      <c r="X53" s="1690"/>
      <c r="Y53" s="1690"/>
      <c r="Z53" s="1690"/>
      <c r="AA53" s="1690"/>
      <c r="AB53" s="1690"/>
      <c r="AC53" s="1690"/>
      <c r="AD53" s="1690"/>
      <c r="AE53" s="1690"/>
      <c r="AF53" s="1690"/>
      <c r="AG53" s="1690"/>
      <c r="AH53" s="1690"/>
      <c r="AI53" s="1690"/>
      <c r="AJ53" s="1690"/>
      <c r="AK53" s="1690"/>
      <c r="AM53" s="1150"/>
      <c r="AN53" s="1150" t="str">
        <f>IF(T53="","",T53)</f>
        <v>Добавить наименование тарифа</v>
      </c>
      <c r="AO53" s="1150"/>
      <c r="AP53" s="1150"/>
    </row>
    <row customHeight="1" ht="11.25">
      <c r="M54" s="1523"/>
      <c r="N54" s="1523"/>
      <c r="O54" s="898"/>
      <c r="P54" s="1518"/>
      <c r="Q54" s="1518"/>
      <c r="R54" s="1518"/>
      <c r="S54" s="1518"/>
      <c r="AL54" s="1518"/>
      <c r="AM54" s="1518"/>
      <c r="AN54" s="1518"/>
      <c r="AO54" s="1518"/>
      <c r="AP54" s="1518"/>
    </row>
    <row customHeight="1" ht="14.25">
      <c r="O55" s="898"/>
      <c r="S55" s="1618"/>
      <c r="T55" s="2526"/>
      <c r="U55" s="2526"/>
      <c r="V55" s="2526"/>
      <c r="W55" s="2526"/>
      <c r="X55" s="2526"/>
      <c r="Y55" s="2526"/>
      <c r="Z55" s="2526"/>
      <c r="AA55" s="2526"/>
      <c r="AB55" s="2526"/>
      <c r="AC55" s="2526"/>
      <c r="AD55" s="2526"/>
      <c r="AE55" s="2526"/>
      <c r="AF55" s="2526"/>
      <c r="AG55" s="2526"/>
      <c r="AH55" s="2526"/>
      <c r="AI55" s="2526"/>
      <c r="AJ55" s="2526"/>
      <c r="AK55" s="2526"/>
    </row>
    <row customHeight="1" ht="14.25">
      <c r="O56" s="898"/>
    </row>
    <row customHeight="1" ht="14.25">
      <c r="O57" s="898"/>
      <c r="S57" s="1618"/>
      <c r="T57" s="2526"/>
      <c r="U57" s="2526"/>
      <c r="V57" s="2526"/>
      <c r="W57" s="2526"/>
      <c r="X57" s="2526"/>
      <c r="Y57" s="2526"/>
      <c r="Z57" s="2526"/>
      <c r="AA57" s="2526"/>
      <c r="AB57" s="2526"/>
      <c r="AC57" s="2526"/>
      <c r="AD57" s="2526"/>
      <c r="AE57" s="2526"/>
      <c r="AF57" s="2526"/>
      <c r="AG57" s="2526"/>
      <c r="AH57" s="2526"/>
      <c r="AI57" s="2526"/>
      <c r="AJ57" s="2526"/>
      <c r="AK57" s="252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5D7CB-1A48-6EE1-6808-A2BD5A8F4EC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217" width="10.57421875" hidden="1"/>
    <col min="2" max="2" style="32217" width="11.00390625" hidden="1" customWidth="1"/>
    <col min="3" max="3" style="32217" width="10.57421875" hidden="1"/>
    <col min="4" max="4" style="32217" width="11.8515625" hidden="1" customWidth="1"/>
    <col min="5" max="5" style="32217" width="10.00390625" hidden="1" customWidth="1"/>
    <col min="6" max="6" style="32217" width="8.7109375" hidden="1" customWidth="1"/>
    <col min="7" max="7" style="32217" width="7.57421875" hidden="1" customWidth="1"/>
    <col min="8" max="8" style="32217" width="11.421875" hidden="1" customWidth="1"/>
    <col min="9" max="9" style="32217" width="14.140625" hidden="1" customWidth="1"/>
    <col min="10" max="10" style="32217" width="9.8515625" hidden="1" customWidth="1"/>
    <col min="11" max="11" style="32217" width="14.7109375" hidden="1" customWidth="1"/>
    <col min="12" max="12" style="32510" width="19.140625" hidden="1" customWidth="1"/>
    <col min="13" max="14" style="32298" width="12.28125" hidden="1" customWidth="1"/>
    <col min="15" max="15" style="32298" width="23.421875" hidden="1" customWidth="1"/>
    <col min="16" max="16" style="32511" width="3.7109375" customWidth="1"/>
    <col min="17" max="18" style="32300" width="3.7109375" customWidth="1"/>
    <col min="19" max="19" style="32301" width="12.7109375" customWidth="1"/>
    <col min="20" max="20" style="32302" width="35.7109375" customWidth="1"/>
    <col min="21" max="21" style="32302" width="0.140625" customWidth="1"/>
    <col min="22" max="24" style="32302" width="24.7109375" hidden="1" customWidth="1"/>
    <col min="25" max="25" style="32302" width="11.7109375" hidden="1" customWidth="1"/>
    <col min="26" max="26" style="32302" width="3.7109375" hidden="1" customWidth="1"/>
    <col min="27" max="27" style="32302" width="11.7109375" hidden="1" customWidth="1"/>
    <col min="28" max="28" style="32302" width="8.57421875" hidden="1" customWidth="1"/>
    <col min="29" max="31" style="32302" width="24.7109375" customWidth="1"/>
    <col min="32" max="32" style="32302" width="11.7109375" customWidth="1"/>
    <col min="33" max="33" style="32302" width="3.7109375" customWidth="1"/>
    <col min="34" max="34" style="32302" width="11.7109375" customWidth="1"/>
    <col min="35" max="35" style="32302" width="8.57421875" hidden="1" customWidth="1"/>
    <col min="36" max="36" style="32302" width="4.7109375" customWidth="1"/>
    <col min="37" max="37" style="32302" width="115.7109375" customWidth="1"/>
    <col min="38" max="39" style="32289" width="10.57421875"/>
    <col min="40" max="40" style="32289" width="11.140625" customWidth="1"/>
    <col min="41" max="42" style="32289" width="10.57421875"/>
  </cols>
  <sheetData>
    <row customHeight="1" ht="14.25" hidden="1">
      <c r="X1" s="688"/>
      <c r="Y1" s="688"/>
      <c r="AE1" s="688"/>
      <c r="AF1" s="688"/>
    </row>
    <row customHeight="1" ht="23.25" hidden="1">
      <c r="A2" s="1729"/>
      <c r="B2" s="1729"/>
      <c r="C2" s="1729"/>
      <c r="D2" s="1729"/>
      <c r="E2" s="2527">
        <v>1</v>
      </c>
      <c r="F2" s="1729"/>
      <c r="G2" s="1729"/>
      <c r="H2" s="1729"/>
      <c r="I2" s="1729"/>
      <c r="J2" s="1729"/>
      <c r="K2" s="1729"/>
      <c r="L2" s="1730"/>
      <c r="M2" s="1731"/>
      <c r="N2" s="1731"/>
      <c r="O2" s="1731"/>
      <c r="P2" s="722"/>
      <c r="Q2" s="721"/>
      <c r="R2" s="716"/>
      <c r="S2" s="1823">
        <f>INDEX(PT_DIFFERENTIATION_NUM_NTAR,MATCH(A2,PT_DIFFERENTIATION_NTAR_ID,0))</f>
      </c>
      <c r="T2" s="659" t="s">
        <v>131</v>
      </c>
      <c r="U2" s="661"/>
      <c r="V2" s="2521"/>
      <c r="W2" s="2522"/>
      <c r="X2" s="2522"/>
      <c r="Y2" s="2522"/>
      <c r="Z2" s="2522"/>
      <c r="AA2" s="2522"/>
      <c r="AB2" s="2523"/>
      <c r="AC2" s="2521">
        <f>INDEX(PT_DIFFERENTIATION_NTAR,MATCH(A2,PT_DIFFERENTIATION_NTAR_ID,0))</f>
      </c>
      <c r="AD2" s="2522"/>
      <c r="AE2" s="2522"/>
      <c r="AF2" s="2522"/>
      <c r="AG2" s="2522"/>
      <c r="AH2" s="2522"/>
      <c r="AI2" s="2522"/>
      <c r="AJ2" s="2523"/>
      <c r="AK2"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861"/>
      <c r="AN2" s="861" t="str">
        <f>IF(T2="","",T2)</f>
        <v>Наименование тарифа</v>
      </c>
      <c r="AO2" s="861"/>
      <c r="AP2" s="861"/>
    </row>
    <row customHeight="1" ht="23.25" hidden="1">
      <c r="A3" s="1729"/>
      <c r="B3" s="1729"/>
      <c r="C3" s="1729"/>
      <c r="D3" s="1729"/>
      <c r="E3" s="2528"/>
      <c r="F3" s="2527">
        <v>1</v>
      </c>
      <c r="G3" s="1729"/>
      <c r="H3" s="1729"/>
      <c r="I3" s="1729"/>
      <c r="J3" s="1729"/>
      <c r="K3" s="1729"/>
      <c r="L3" s="1730"/>
      <c r="M3" s="1731"/>
      <c r="N3" s="1731"/>
      <c r="O3" s="1731"/>
      <c r="P3" s="1819"/>
      <c r="Q3" s="713"/>
      <c r="R3" s="714"/>
      <c r="S3" s="1823">
        <f>INDEX(PT_DIFFERENTIATION_NUM_TER,MATCH(B3,PT_DIFFERENTIATION_TER_ID,0))</f>
      </c>
      <c r="T3" s="669" t="s">
        <v>438</v>
      </c>
      <c r="U3" s="661"/>
      <c r="V3" s="2521"/>
      <c r="W3" s="2522"/>
      <c r="X3" s="2522"/>
      <c r="Y3" s="2522"/>
      <c r="Z3" s="2522"/>
      <c r="AA3" s="2522"/>
      <c r="AB3" s="2523"/>
      <c r="AC3" s="2521">
        <f>INDEX(PT_DIFFERENTIATION_TER,MATCH(B3,PT_DIFFERENTIATION_TER_ID,0))</f>
      </c>
      <c r="AD3" s="2522"/>
      <c r="AE3" s="2522"/>
      <c r="AF3" s="2522"/>
      <c r="AG3" s="2522"/>
      <c r="AH3" s="2522"/>
      <c r="AI3" s="2522"/>
      <c r="AJ3" s="2523"/>
      <c r="AK3" s="1623" t="s">
        <v>439</v>
      </c>
      <c r="AM3" s="861"/>
      <c r="AN3" s="861" t="str">
        <f>IF(T3="","",T3)</f>
        <v>Территория действия тарифа</v>
      </c>
      <c r="AO3" s="861"/>
      <c r="AP3" s="861"/>
    </row>
    <row customHeight="1" ht="23.25" hidden="1">
      <c r="A4" s="1729"/>
      <c r="B4" s="1729"/>
      <c r="C4" s="1729"/>
      <c r="D4" s="1729"/>
      <c r="E4" s="2528"/>
      <c r="F4" s="2528"/>
      <c r="G4" s="2527">
        <v>1</v>
      </c>
      <c r="H4" s="1729"/>
      <c r="I4" s="1729"/>
      <c r="J4" s="1729"/>
      <c r="K4" s="1729"/>
      <c r="L4" s="1730"/>
      <c r="M4" s="1731"/>
      <c r="N4" s="1731"/>
      <c r="O4" s="1731"/>
      <c r="P4" s="715"/>
      <c r="Q4" s="713"/>
      <c r="R4" s="714"/>
      <c r="S4" s="1823">
        <f>INDEX(PT_DIFFERENTIATION_NUM_CS,MATCH(C4,PT_DIFFERENTIATION_CS_ID,0))</f>
      </c>
      <c r="T4" s="670" t="s">
        <v>520</v>
      </c>
      <c r="U4" s="661"/>
      <c r="V4" s="2521"/>
      <c r="W4" s="2522"/>
      <c r="X4" s="2522"/>
      <c r="Y4" s="2522"/>
      <c r="Z4" s="2522"/>
      <c r="AA4" s="2522"/>
      <c r="AB4" s="2523"/>
      <c r="AC4" s="2521">
        <f>INDEX(PT_DIFFERENTIATION_CS,MATCH(C4,PT_DIFFERENTIATION_CS_ID,0))</f>
      </c>
      <c r="AD4" s="2522"/>
      <c r="AE4" s="2522"/>
      <c r="AF4" s="2522"/>
      <c r="AG4" s="2522"/>
      <c r="AH4" s="2522"/>
      <c r="AI4" s="2522"/>
      <c r="AJ4" s="2523"/>
      <c r="AK4" s="1623" t="s">
        <v>521</v>
      </c>
      <c r="AM4" s="861"/>
      <c r="AN4" s="861" t="str">
        <f>IF(T4="","",T4)</f>
        <v>Наименование централизованной системы холодного водоснабжения</v>
      </c>
      <c r="AO4" s="861"/>
      <c r="AP4" s="861"/>
    </row>
    <row customHeight="1" ht="23.25" hidden="1">
      <c r="A5" s="1729"/>
      <c r="B5" s="1729"/>
      <c r="C5" s="1729"/>
      <c r="D5" s="1729"/>
      <c r="E5" s="2528"/>
      <c r="F5" s="2528"/>
      <c r="G5" s="2528"/>
      <c r="H5" s="2528"/>
      <c r="I5" s="2529">
        <f>S4&amp;".1"</f>
      </c>
      <c r="J5" s="1729"/>
      <c r="K5" s="1729"/>
      <c r="L5" s="1730"/>
      <c r="P5" s="2531">
        <v>1</v>
      </c>
      <c r="Q5" s="1816"/>
      <c r="R5" s="717"/>
      <c r="S5" s="1823">
        <f>$I5</f>
      </c>
      <c r="T5" s="646" t="s">
        <v>522</v>
      </c>
      <c r="U5" s="661"/>
      <c r="V5" s="2614"/>
      <c r="W5" s="2615"/>
      <c r="X5" s="2615"/>
      <c r="Y5" s="2615"/>
      <c r="Z5" s="2615"/>
      <c r="AA5" s="2615"/>
      <c r="AB5" s="2616"/>
      <c r="AC5" s="2617"/>
      <c r="AD5" s="2618"/>
      <c r="AE5" s="2618"/>
      <c r="AF5" s="2618"/>
      <c r="AG5" s="2618"/>
      <c r="AH5" s="2618"/>
      <c r="AI5" s="2618"/>
      <c r="AJ5" s="2619"/>
      <c r="AK5" s="1623" t="s">
        <v>523</v>
      </c>
      <c r="AM5" s="861"/>
      <c r="AN5" s="861" t="str">
        <f>IF(T5="","",T5)</f>
        <v>Наименование признака дифференциации</v>
      </c>
      <c r="AO5" s="861"/>
      <c r="AP5" s="861"/>
    </row>
    <row customHeight="1" ht="23.25" hidden="1">
      <c r="A6" s="1729"/>
      <c r="B6" s="1729"/>
      <c r="C6" s="1729"/>
      <c r="D6" s="1729"/>
      <c r="E6" s="2528"/>
      <c r="F6" s="2528"/>
      <c r="G6" s="2528"/>
      <c r="H6" s="2528"/>
      <c r="I6" s="2530"/>
      <c r="J6" s="2529">
        <f>I5&amp;".1"</f>
      </c>
      <c r="K6" s="1729"/>
      <c r="L6" s="1730" t="s">
        <v>447</v>
      </c>
      <c r="P6" s="2531"/>
      <c r="Q6" s="2531">
        <v>1</v>
      </c>
      <c r="R6" s="718"/>
      <c r="S6" s="1823">
        <f>$J6</f>
      </c>
      <c r="T6" s="647" t="s">
        <v>448</v>
      </c>
      <c r="U6" s="661"/>
      <c r="V6" s="2515"/>
      <c r="W6" s="2516"/>
      <c r="X6" s="2516"/>
      <c r="Y6" s="2516"/>
      <c r="Z6" s="2516"/>
      <c r="AA6" s="2516"/>
      <c r="AB6" s="2517"/>
      <c r="AC6" s="2515"/>
      <c r="AD6" s="2516"/>
      <c r="AE6" s="2516"/>
      <c r="AF6" s="2516"/>
      <c r="AG6" s="2516"/>
      <c r="AH6" s="2516"/>
      <c r="AI6" s="2516"/>
      <c r="AJ6" s="2517"/>
      <c r="AK6" s="1673" t="s">
        <v>524</v>
      </c>
      <c r="AM6" s="861"/>
      <c r="AN6" s="861" t="str">
        <f>IF(T6="","",T6)</f>
        <v>Группа потребителей</v>
      </c>
      <c r="AO6" s="861"/>
      <c r="AP6" s="861"/>
    </row>
    <row customHeight="1" ht="23.25" hidden="1">
      <c r="A7" s="1729"/>
      <c r="B7" s="1729"/>
      <c r="C7" s="1729"/>
      <c r="D7" s="1729"/>
      <c r="E7" s="2528"/>
      <c r="F7" s="2528"/>
      <c r="G7" s="2528"/>
      <c r="H7" s="2528"/>
      <c r="I7" s="2530"/>
      <c r="J7" s="2530"/>
      <c r="K7" s="2529">
        <f>J6&amp;".1"</f>
      </c>
      <c r="L7" s="1730"/>
      <c r="P7" s="2531"/>
      <c r="Q7" s="2531"/>
      <c r="R7" s="718">
        <v>1</v>
      </c>
      <c r="S7" s="1823">
        <f>$K7</f>
      </c>
      <c r="T7" s="1803"/>
      <c r="U7" s="661"/>
      <c r="V7" s="1112"/>
      <c r="W7" s="1112"/>
      <c r="X7" s="1622"/>
      <c r="Y7" s="2532"/>
      <c r="Z7" s="2402" t="s">
        <v>66</v>
      </c>
      <c r="AA7" s="2532"/>
      <c r="AB7" s="2402" t="s">
        <v>66</v>
      </c>
      <c r="AC7" s="1112"/>
      <c r="AD7" s="1112"/>
      <c r="AE7" s="1622"/>
      <c r="AF7" s="2532"/>
      <c r="AG7" s="2402" t="s">
        <v>66</v>
      </c>
      <c r="AH7" s="2534"/>
      <c r="AI7" s="2402" t="s">
        <v>66</v>
      </c>
      <c r="AJ7" s="1804"/>
      <c r="AK7" s="26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72">
        <f>STRCHECKDATE(V8:AJ8)</f>
      </c>
      <c r="AM7" s="861"/>
      <c r="AN7" s="861" t="str">
        <f>IF(T7="","",T7)</f>
        <v/>
      </c>
      <c r="AO7" s="861"/>
      <c r="AP7" s="861"/>
    </row>
    <row customHeight="1" ht="14.25" hidden="1">
      <c r="A8" s="1729"/>
      <c r="B8" s="1729"/>
      <c r="C8" s="1729"/>
      <c r="D8" s="1729"/>
      <c r="E8" s="2528"/>
      <c r="F8" s="2528"/>
      <c r="G8" s="2528"/>
      <c r="H8" s="2528"/>
      <c r="I8" s="2530"/>
      <c r="J8" s="2530"/>
      <c r="K8" s="2529"/>
      <c r="L8" s="1730"/>
      <c r="P8" s="2531"/>
      <c r="Q8" s="2531"/>
      <c r="R8" s="718"/>
      <c r="S8" s="1822"/>
      <c r="T8" s="661"/>
      <c r="U8" s="661"/>
      <c r="V8" s="686"/>
      <c r="W8" s="686"/>
      <c r="X8" s="689" t="str">
        <f>Y7&amp;"-"&amp;AA7</f>
        <v>-</v>
      </c>
      <c r="Y8" s="2533"/>
      <c r="Z8" s="2402"/>
      <c r="AA8" s="2533"/>
      <c r="AB8" s="2402"/>
      <c r="AC8" s="686"/>
      <c r="AD8" s="686"/>
      <c r="AE8" s="689" t="str">
        <f>AF7&amp;"-"&amp;AH7</f>
        <v>-</v>
      </c>
      <c r="AF8" s="2533"/>
      <c r="AG8" s="2402"/>
      <c r="AH8" s="2535"/>
      <c r="AI8" s="2402"/>
      <c r="AJ8" s="1805"/>
      <c r="AK8" s="2620"/>
      <c r="AM8" s="861"/>
      <c r="AN8" s="861" t="str">
        <f>IF(T8="","",T8)</f>
        <v/>
      </c>
      <c r="AO8" s="861"/>
      <c r="AP8" s="861"/>
    </row>
    <row customHeight="1" ht="21" hidden="1">
      <c r="A9" s="1729"/>
      <c r="B9" s="1729"/>
      <c r="C9" s="1729"/>
      <c r="D9" s="1729"/>
      <c r="E9" s="2528"/>
      <c r="F9" s="2528"/>
      <c r="G9" s="2528"/>
      <c r="H9" s="2528"/>
      <c r="I9" s="2530"/>
      <c r="J9" s="2529"/>
      <c r="K9" s="1729"/>
      <c r="L9" s="1730"/>
      <c r="P9" s="2531"/>
      <c r="Q9" s="2531"/>
      <c r="R9" s="717"/>
      <c r="S9" s="1644"/>
      <c r="T9" s="648" t="s">
        <v>525</v>
      </c>
      <c r="U9" s="728"/>
      <c r="V9" s="728"/>
      <c r="W9" s="728"/>
      <c r="X9" s="728"/>
      <c r="Y9" s="728"/>
      <c r="Z9" s="728"/>
      <c r="AA9" s="728"/>
      <c r="AB9" s="728"/>
      <c r="AC9" s="728"/>
      <c r="AD9" s="728"/>
      <c r="AE9" s="728"/>
      <c r="AF9" s="728"/>
      <c r="AG9" s="728"/>
      <c r="AH9" s="728"/>
      <c r="AI9" s="728"/>
      <c r="AJ9" s="728"/>
      <c r="AK9" s="1623" t="s">
        <v>526</v>
      </c>
      <c r="AM9" s="861"/>
      <c r="AN9" s="861" t="str">
        <f>IF(T9="","",T9)</f>
        <v>Добавить значение признака дифференциации</v>
      </c>
      <c r="AO9" s="861"/>
      <c r="AP9" s="861"/>
    </row>
    <row customHeight="1" ht="21" hidden="1">
      <c r="A10" s="1729"/>
      <c r="B10" s="1729"/>
      <c r="C10" s="1729"/>
      <c r="D10" s="1729"/>
      <c r="E10" s="2528"/>
      <c r="F10" s="2528"/>
      <c r="G10" s="2528"/>
      <c r="H10" s="2528"/>
      <c r="I10" s="2529"/>
      <c r="J10" s="1729"/>
      <c r="K10" s="1729"/>
      <c r="L10" s="1730"/>
      <c r="P10" s="2531"/>
      <c r="Q10" s="1816"/>
      <c r="R10" s="717"/>
      <c r="S10" s="1644"/>
      <c r="T10" s="726" t="s">
        <v>453</v>
      </c>
      <c r="U10" s="728"/>
      <c r="V10" s="728"/>
      <c r="W10" s="728"/>
      <c r="X10" s="728"/>
      <c r="Y10" s="728"/>
      <c r="Z10" s="728"/>
      <c r="AA10" s="728"/>
      <c r="AB10" s="727"/>
      <c r="AC10" s="728"/>
      <c r="AD10" s="728"/>
      <c r="AE10" s="728"/>
      <c r="AF10" s="728"/>
      <c r="AG10" s="728"/>
      <c r="AH10" s="728"/>
      <c r="AI10" s="727"/>
      <c r="AJ10" s="728"/>
      <c r="AK10" s="1806"/>
      <c r="AM10" s="861"/>
      <c r="AN10" s="861" t="str">
        <f>IF(T10="","",T10)</f>
        <v>Добавить группу потребителей</v>
      </c>
      <c r="AO10" s="861"/>
      <c r="AP10" s="861"/>
    </row>
    <row customHeight="1" ht="21" hidden="1">
      <c r="A11" s="1729"/>
      <c r="B11" s="1729"/>
      <c r="C11" s="1729"/>
      <c r="D11" s="1729"/>
      <c r="E11" s="2528"/>
      <c r="F11" s="2528"/>
      <c r="G11" s="2528"/>
      <c r="H11" s="2527"/>
      <c r="I11" s="1729"/>
      <c r="J11" s="1729"/>
      <c r="K11" s="1729"/>
      <c r="L11" s="1730"/>
      <c r="M11" s="1731"/>
      <c r="N11" s="1731"/>
      <c r="O11" s="898"/>
      <c r="P11" s="721"/>
      <c r="Q11" s="736"/>
      <c r="R11" s="716"/>
      <c r="S11" s="1644"/>
      <c r="T11" s="733" t="s">
        <v>527</v>
      </c>
      <c r="U11" s="728"/>
      <c r="V11" s="728"/>
      <c r="W11" s="728"/>
      <c r="X11" s="728"/>
      <c r="Y11" s="728"/>
      <c r="Z11" s="728"/>
      <c r="AA11" s="728"/>
      <c r="AB11" s="727"/>
      <c r="AC11" s="728"/>
      <c r="AD11" s="728"/>
      <c r="AE11" s="728"/>
      <c r="AF11" s="728"/>
      <c r="AG11" s="728"/>
      <c r="AH11" s="728"/>
      <c r="AI11" s="727"/>
      <c r="AJ11" s="728"/>
      <c r="AK11" s="664"/>
      <c r="AM11" s="861"/>
      <c r="AN11" s="861" t="str">
        <f>IF(T11="","",T11)</f>
        <v>Добавить наименование признака дифференциации</v>
      </c>
      <c r="AO11" s="861"/>
      <c r="AP11" s="861"/>
    </row>
    <row s="32198" customFormat="1" customHeight="1" ht="14.25" hidden="1">
      <c r="A12" s="1709"/>
      <c r="B12" s="1709"/>
      <c r="C12" s="1680"/>
      <c r="D12" s="1680"/>
      <c r="E12" s="2528"/>
      <c r="F12" s="2527"/>
      <c r="G12" s="1680"/>
      <c r="H12" s="1680"/>
      <c r="I12" s="1680"/>
      <c r="J12" s="1680"/>
      <c r="K12" s="1680"/>
      <c r="L12" s="1824"/>
      <c r="M12" s="1687"/>
      <c r="N12" s="1687"/>
      <c r="P12" s="1682"/>
      <c r="Q12" s="1683"/>
      <c r="R12" s="1682"/>
      <c r="S12" s="1688"/>
      <c r="T12" s="1691" t="s">
        <v>262</v>
      </c>
      <c r="U12" s="1690"/>
      <c r="V12" s="1690"/>
      <c r="W12" s="1690"/>
      <c r="X12" s="1690"/>
      <c r="Y12" s="1690"/>
      <c r="Z12" s="1690"/>
      <c r="AA12" s="1690"/>
      <c r="AB12" s="1690"/>
      <c r="AC12" s="1690"/>
      <c r="AD12" s="1690"/>
      <c r="AE12" s="1690"/>
      <c r="AF12" s="1690"/>
      <c r="AG12" s="1690"/>
      <c r="AH12" s="1690"/>
      <c r="AI12" s="1690"/>
      <c r="AJ12" s="1690"/>
      <c r="AK12" s="1690"/>
      <c r="AM12" s="1150"/>
      <c r="AN12" s="1150" t="str">
        <f>IF(T12="","",T12)</f>
        <v>Добавить централизованную систему для дифференциации</v>
      </c>
      <c r="AO12" s="1150"/>
      <c r="AP12" s="1150"/>
    </row>
    <row s="32289" customFormat="1" customHeight="1" ht="14.25" hidden="1">
      <c r="A13" s="1709"/>
      <c r="B13" s="1709"/>
      <c r="C13" s="1709"/>
      <c r="D13" s="1709"/>
      <c r="E13" s="2527"/>
      <c r="F13" s="1709"/>
      <c r="G13" s="1709"/>
      <c r="H13" s="1709"/>
      <c r="I13" s="1709"/>
      <c r="J13" s="1709"/>
      <c r="K13" s="1709"/>
      <c r="L13" s="1712"/>
      <c r="M13" s="1687"/>
      <c r="N13" s="1687"/>
      <c r="O13" s="879"/>
      <c r="P13" s="741"/>
      <c r="Q13" s="1710"/>
      <c r="R13" s="741"/>
      <c r="S13" s="1688"/>
      <c r="T13" s="1691" t="s">
        <v>270</v>
      </c>
      <c r="U13" s="1690"/>
      <c r="V13" s="1690"/>
      <c r="W13" s="1690"/>
      <c r="X13" s="1690"/>
      <c r="Y13" s="1690"/>
      <c r="Z13" s="1690"/>
      <c r="AA13" s="1690"/>
      <c r="AB13" s="1690"/>
      <c r="AC13" s="1690"/>
      <c r="AD13" s="1690"/>
      <c r="AE13" s="1690"/>
      <c r="AF13" s="1690"/>
      <c r="AG13" s="1690"/>
      <c r="AH13" s="1690"/>
      <c r="AI13" s="1690"/>
      <c r="AJ13" s="1690"/>
      <c r="AK13" s="1690"/>
      <c r="AM13" s="861"/>
      <c r="AN13" s="861" t="str">
        <f>IF(T13="","",T13)</f>
        <v>Добавить территорию для дифференциации</v>
      </c>
      <c r="AO13" s="861"/>
      <c r="AP13" s="861"/>
    </row>
    <row customHeight="1" ht="14.25" hidden="1">
      <c r="AB14" s="688"/>
      <c r="AI14" s="688"/>
    </row>
    <row customHeight="1" ht="14.25" hidden="1">
      <c r="AC15" s="1726"/>
      <c r="AD15" s="1726"/>
      <c r="AE15" s="1727"/>
      <c r="AF15" s="2525"/>
      <c r="AG15" s="2524" t="s">
        <v>66</v>
      </c>
      <c r="AH15" s="2525"/>
      <c r="AI15" s="2524" t="s">
        <v>66</v>
      </c>
    </row>
    <row customHeight="1" ht="14.25" hidden="1">
      <c r="AC16" s="1726"/>
      <c r="AD16" s="1726"/>
      <c r="AE16" s="689" t="str">
        <f>AF15&amp;"-"&amp;AH15</f>
        <v>-</v>
      </c>
      <c r="AF16" s="2524"/>
      <c r="AG16" s="2524"/>
      <c r="AH16" s="2524"/>
      <c r="AI16" s="2524"/>
    </row>
    <row customHeight="1" ht="14.25" hidden="1">
      <c r="AI17" s="688"/>
    </row>
    <row s="32217" customFormat="1" customHeight="1" ht="22.5" hidden="1">
      <c r="L18" s="1813"/>
      <c r="M18" s="1728"/>
      <c r="N18" s="1728"/>
      <c r="O18" s="1733" t="s">
        <v>456</v>
      </c>
      <c r="P18" s="1728"/>
      <c r="Q18" s="1737"/>
      <c r="R18" s="1737"/>
      <c r="S18" s="1090"/>
      <c r="Y18" s="1733"/>
      <c r="AA18" s="1733"/>
      <c r="AB18" s="1732"/>
      <c r="AF18" s="1733"/>
      <c r="AH18" s="1733"/>
      <c r="AI18" s="1732"/>
      <c r="AL18" s="872"/>
      <c r="AM18" s="872"/>
      <c r="AN18" s="872"/>
      <c r="AO18" s="872"/>
      <c r="AP18" s="872"/>
    </row>
    <row s="32217" customFormat="1" customHeight="1" ht="14.25" hidden="1">
      <c r="L19" s="1813"/>
      <c r="M19" s="1728"/>
      <c r="N19" s="1728"/>
      <c r="O19" s="1728"/>
      <c r="P19" s="1728"/>
      <c r="Q19" s="1737"/>
      <c r="R19" s="1737"/>
      <c r="S19" s="1090"/>
      <c r="AB19" s="1732"/>
      <c r="AI19" s="1732"/>
      <c r="AL19" s="872"/>
      <c r="AM19" s="872"/>
      <c r="AN19" s="872"/>
      <c r="AO19" s="872"/>
      <c r="AP19" s="872"/>
    </row>
    <row s="32217" customFormat="1" customHeight="1" ht="12" hidden="1">
      <c r="L20" s="1813"/>
      <c r="M20" s="1728"/>
      <c r="N20" s="1728"/>
      <c r="O20" s="1730" t="s">
        <v>457</v>
      </c>
      <c r="P20" s="1728"/>
      <c r="Q20" s="1808"/>
      <c r="R20" s="1808"/>
      <c r="S20" s="1090"/>
      <c r="T20" s="1523" t="s">
        <v>458</v>
      </c>
      <c r="Z20" s="547" t="s">
        <v>459</v>
      </c>
      <c r="AB20" s="547" t="s">
        <v>460</v>
      </c>
      <c r="AC20" s="1523" t="s">
        <v>458</v>
      </c>
      <c r="AG20" s="547" t="s">
        <v>461</v>
      </c>
      <c r="AI20" s="547" t="s">
        <v>460</v>
      </c>
    </row>
    <row customHeight="1" ht="14.25" hidden="1">
      <c r="O21" s="1730"/>
    </row>
    <row customHeight="1" ht="14.25" hidden="1">
      <c r="O22" s="1730"/>
    </row>
    <row customHeight="1" ht="14.25">
      <c r="Q23" s="737"/>
      <c r="R23" s="737"/>
      <c r="S23" s="1641"/>
      <c r="T23" s="724"/>
      <c r="U23" s="724"/>
      <c r="V23" s="870"/>
      <c r="W23" s="870"/>
      <c r="X23" s="870"/>
      <c r="Y23" s="870"/>
      <c r="Z23" s="870"/>
      <c r="AA23" s="870"/>
      <c r="AB23" s="870"/>
      <c r="AC23" s="870"/>
      <c r="AD23" s="870"/>
      <c r="AE23" s="870"/>
      <c r="AF23" s="870"/>
      <c r="AG23" s="870"/>
      <c r="AH23" s="870"/>
      <c r="AI23" s="870"/>
    </row>
    <row customHeight="1" ht="14.25">
      <c r="Q24" s="737"/>
      <c r="R24" s="737"/>
      <c r="S24" s="256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560"/>
      <c r="U24" s="2560"/>
      <c r="V24" s="2560"/>
      <c r="W24" s="2560"/>
      <c r="X24" s="2560"/>
      <c r="Y24" s="2560"/>
      <c r="Z24" s="2560"/>
      <c r="AA24" s="2560"/>
      <c r="AB24" s="2560"/>
      <c r="AC24" s="2560"/>
      <c r="AD24" s="2560"/>
      <c r="AE24" s="2560"/>
      <c r="AF24" s="2560"/>
      <c r="AG24" s="2560"/>
      <c r="AH24" s="2560"/>
      <c r="AI24" s="1608"/>
    </row>
    <row customHeight="1" ht="14.25">
      <c r="Q25" s="737"/>
      <c r="R25" s="737"/>
      <c r="S25" s="2561" t="str">
        <f>IF(org=0,"Не определено",org)</f>
        <v>АО "Мурманэнергосбыт"</v>
      </c>
      <c r="T25" s="2561"/>
      <c r="U25" s="2561"/>
      <c r="V25" s="2561"/>
      <c r="W25" s="2561"/>
      <c r="X25" s="2561"/>
      <c r="Y25" s="2561"/>
      <c r="Z25" s="2561"/>
      <c r="AA25" s="2561"/>
      <c r="AB25" s="2561"/>
      <c r="AC25" s="2561"/>
      <c r="AD25" s="2561"/>
      <c r="AE25" s="2561"/>
      <c r="AF25" s="2561"/>
      <c r="AG25" s="2561"/>
      <c r="AH25" s="2561"/>
      <c r="AI25" s="1608"/>
    </row>
    <row customHeight="1" ht="14.25">
      <c r="Q26" s="737"/>
      <c r="R26" s="737"/>
      <c r="S26" s="1641"/>
      <c r="T26" s="724"/>
      <c r="U26" s="724"/>
      <c r="V26" s="683"/>
      <c r="W26" s="683"/>
      <c r="X26" s="683"/>
      <c r="Y26" s="683"/>
      <c r="Z26" s="683"/>
      <c r="AA26" s="683"/>
      <c r="AB26" s="683"/>
      <c r="AC26" s="683"/>
      <c r="AD26" s="683"/>
      <c r="AE26" s="683"/>
      <c r="AF26" s="683"/>
      <c r="AG26" s="683"/>
      <c r="AH26" s="683"/>
      <c r="AI26" s="683"/>
      <c r="AJ26" s="870"/>
    </row>
    <row s="32230" customFormat="1" customHeight="1" ht="25.5">
      <c r="A27" s="1734"/>
      <c r="B27" s="1734"/>
      <c r="C27" s="1734"/>
      <c r="D27" s="1734"/>
      <c r="E27" s="1734"/>
      <c r="F27" s="1734"/>
      <c r="G27" s="1734"/>
      <c r="H27" s="1734"/>
      <c r="I27" s="1734"/>
      <c r="J27" s="1734"/>
      <c r="K27" s="1734"/>
      <c r="L27" s="1735"/>
      <c r="M27" s="1734"/>
      <c r="N27" s="1734"/>
      <c r="O27" s="1734"/>
      <c r="S27" s="2518" t="s">
        <v>38</v>
      </c>
      <c r="T27" s="2518"/>
      <c r="U27" s="1738"/>
      <c r="V27" s="2520" t="str">
        <f>IF(TITLE_NAME_OR_PR_CHANGE="",IF(TITLE_NAME_OR_PR="","",TITLE_NAME_OR_PR),TITLE_NAME_OR_PR_CHANGE)</f>
        <v>Комитет по тарифному регулированию Мурманской области</v>
      </c>
      <c r="W27" s="2520"/>
      <c r="X27" s="2520"/>
      <c r="Y27" s="2520"/>
      <c r="Z27" s="2520"/>
      <c r="AA27" s="2520"/>
      <c r="AB27" s="687"/>
      <c r="AC27" s="2520" t="str">
        <f>IF(TITLE_NAME_OR_PR_CHANGE="",IF(TITLE_NAME_OR_PR="","",TITLE_NAME_OR_PR),TITLE_NAME_OR_PR_CHANGE)</f>
        <v>Комитет по тарифному регулированию Мурманской области</v>
      </c>
      <c r="AD27" s="2520"/>
      <c r="AE27" s="2520"/>
      <c r="AF27" s="2520"/>
      <c r="AG27" s="2520"/>
      <c r="AH27" s="2520"/>
      <c r="AI27" s="687"/>
      <c r="AJ27" s="687"/>
      <c r="AK27" s="641"/>
      <c r="AL27" s="729"/>
      <c r="AM27" s="729"/>
      <c r="AN27" s="729"/>
      <c r="AO27" s="729"/>
      <c r="AP27" s="729"/>
    </row>
    <row s="32230" customFormat="1" customHeight="1" ht="18.75">
      <c r="A28" s="1734"/>
      <c r="B28" s="1734"/>
      <c r="C28" s="1734"/>
      <c r="D28" s="1734"/>
      <c r="E28" s="1734"/>
      <c r="F28" s="1734"/>
      <c r="G28" s="1734"/>
      <c r="H28" s="1734"/>
      <c r="I28" s="1734"/>
      <c r="J28" s="1734"/>
      <c r="K28" s="1734"/>
      <c r="L28" s="1735"/>
      <c r="M28" s="1734"/>
      <c r="N28" s="1734"/>
      <c r="O28" s="1734"/>
      <c r="S28" s="2518" t="s">
        <v>462</v>
      </c>
      <c r="T28" s="2518"/>
      <c r="U28" s="1738"/>
      <c r="V28" s="2519" t="str">
        <f>IF(TITLE_DATE_PR_CHANGE="",IF(TITLE_DATE_PR="","",TITLE_DATE_PR),TITLE_DATE_PR_CHANGE)</f>
        <v>45280</v>
      </c>
      <c r="W28" s="2519"/>
      <c r="X28" s="2519"/>
      <c r="Y28" s="2519"/>
      <c r="Z28" s="2519"/>
      <c r="AA28" s="2519"/>
      <c r="AB28" s="687"/>
      <c r="AC28" s="2519" t="str">
        <f>IF(TITLE_DATE_PR_CHANGE="",IF(TITLE_DATE_PR="","",TITLE_DATE_PR),TITLE_DATE_PR_CHANGE)</f>
        <v>45280</v>
      </c>
      <c r="AD28" s="2519"/>
      <c r="AE28" s="2519"/>
      <c r="AF28" s="2519"/>
      <c r="AG28" s="2519"/>
      <c r="AH28" s="2519"/>
      <c r="AI28" s="687"/>
      <c r="AJ28" s="687"/>
      <c r="AK28" s="641"/>
      <c r="AL28" s="729"/>
      <c r="AM28" s="729"/>
      <c r="AN28" s="729"/>
      <c r="AO28" s="729"/>
      <c r="AP28" s="729"/>
    </row>
    <row s="32230" customFormat="1" customHeight="1" ht="18.75">
      <c r="A29" s="1734"/>
      <c r="B29" s="1734"/>
      <c r="C29" s="1734"/>
      <c r="D29" s="1734"/>
      <c r="E29" s="1734"/>
      <c r="F29" s="1734"/>
      <c r="G29" s="1734"/>
      <c r="H29" s="1734"/>
      <c r="I29" s="1734"/>
      <c r="J29" s="1734"/>
      <c r="K29" s="1734"/>
      <c r="L29" s="1735"/>
      <c r="M29" s="1734"/>
      <c r="N29" s="1734"/>
      <c r="O29" s="1734"/>
      <c r="S29" s="2518" t="s">
        <v>463</v>
      </c>
      <c r="T29" s="2518"/>
      <c r="U29" s="1738"/>
      <c r="V29" s="2520" t="str">
        <f>IF(TITLE_NUMBER_PR_CHANGE="",IF(TITLE_NUMBER_PR="","",TITLE_NUMBER_PR),TITLE_NUMBER_PR_CHANGE)</f>
        <v>51/16</v>
      </c>
      <c r="W29" s="2520"/>
      <c r="X29" s="2520"/>
      <c r="Y29" s="2520"/>
      <c r="Z29" s="2520"/>
      <c r="AA29" s="2520"/>
      <c r="AB29" s="687"/>
      <c r="AC29" s="2520" t="str">
        <f>IF(TITLE_NUMBER_PR_CHANGE="",IF(TITLE_NUMBER_PR="","",TITLE_NUMBER_PR),TITLE_NUMBER_PR_CHANGE)</f>
        <v>51/16</v>
      </c>
      <c r="AD29" s="2520"/>
      <c r="AE29" s="2520"/>
      <c r="AF29" s="2520"/>
      <c r="AG29" s="2520"/>
      <c r="AH29" s="2520"/>
      <c r="AI29" s="687"/>
      <c r="AJ29" s="687"/>
      <c r="AK29" s="641"/>
      <c r="AL29" s="729"/>
      <c r="AM29" s="729"/>
      <c r="AN29" s="729"/>
      <c r="AO29" s="729"/>
      <c r="AP29" s="729"/>
    </row>
    <row s="32230" customFormat="1" customHeight="1" ht="18.75">
      <c r="A30" s="1734"/>
      <c r="B30" s="1734"/>
      <c r="C30" s="1734"/>
      <c r="D30" s="1734"/>
      <c r="E30" s="1734"/>
      <c r="F30" s="1734"/>
      <c r="G30" s="1734"/>
      <c r="H30" s="1734"/>
      <c r="I30" s="1734"/>
      <c r="J30" s="1734"/>
      <c r="K30" s="1734"/>
      <c r="L30" s="1735"/>
      <c r="M30" s="1734"/>
      <c r="N30" s="1734"/>
      <c r="O30" s="1734"/>
      <c r="S30" s="2518" t="s">
        <v>40</v>
      </c>
      <c r="T30" s="2518"/>
      <c r="U30" s="1738"/>
      <c r="V30" s="2520" t="str">
        <f>IF(TITLE_IST_PUB_CHANGE="",IF(TITLE_IST_PUB="","",TITLE_IST_PUB),TITLE_IST_PUB_CHANGE)</f>
        <v>https://npa.gov-murman.ru/bitrix/components/b1team/govmurman.element.file/download.php?ID=508455&amp;FID=750728</v>
      </c>
      <c r="W30" s="2520"/>
      <c r="X30" s="2520"/>
      <c r="Y30" s="2520"/>
      <c r="Z30" s="2520"/>
      <c r="AA30" s="2520"/>
      <c r="AB30" s="687"/>
      <c r="AC30" s="2520" t="str">
        <f>IF(TITLE_IST_PUB_CHANGE="",IF(TITLE_IST_PUB="","",TITLE_IST_PUB),TITLE_IST_PUB_CHANGE)</f>
        <v>https://npa.gov-murman.ru/bitrix/components/b1team/govmurman.element.file/download.php?ID=508455&amp;FID=750728</v>
      </c>
      <c r="AD30" s="2520"/>
      <c r="AE30" s="2520"/>
      <c r="AF30" s="2520"/>
      <c r="AG30" s="2520"/>
      <c r="AH30" s="2520"/>
      <c r="AI30" s="687"/>
      <c r="AJ30" s="687"/>
      <c r="AK30" s="641"/>
      <c r="AL30" s="729"/>
      <c r="AM30" s="729"/>
      <c r="AN30" s="729"/>
      <c r="AO30" s="729"/>
      <c r="AP30" s="729"/>
    </row>
    <row customHeight="1" ht="14.25" hidden="1">
      <c r="Q31" s="737"/>
      <c r="R31" s="737"/>
      <c r="S31" s="1641"/>
      <c r="T31" s="724"/>
      <c r="U31" s="724"/>
      <c r="V31" s="683"/>
      <c r="W31" s="683"/>
      <c r="X31" s="683"/>
      <c r="Y31" s="683"/>
      <c r="Z31" s="683"/>
      <c r="AA31" s="683"/>
      <c r="AB31" s="683"/>
      <c r="AC31" s="683"/>
      <c r="AD31" s="683"/>
      <c r="AE31" s="683"/>
      <c r="AF31" s="683"/>
      <c r="AG31" s="683"/>
      <c r="AH31" s="683"/>
      <c r="AI31" s="683"/>
      <c r="AJ31" s="870"/>
    </row>
    <row s="32230" customFormat="1" customHeight="1" ht="18.75" hidden="1">
      <c r="A32" s="1734"/>
      <c r="B32" s="1734"/>
      <c r="C32" s="1734"/>
      <c r="D32" s="1734"/>
      <c r="E32" s="1734"/>
      <c r="F32" s="1734"/>
      <c r="G32" s="1734"/>
      <c r="H32" s="1734"/>
      <c r="I32" s="1734"/>
      <c r="J32" s="1734"/>
      <c r="K32" s="1734"/>
      <c r="L32" s="1735"/>
      <c r="M32" s="1734"/>
      <c r="N32" s="1734"/>
      <c r="O32" s="1734"/>
      <c r="S32" s="2518" t="s">
        <v>464</v>
      </c>
      <c r="T32" s="2518"/>
      <c r="U32" s="1738"/>
      <c r="V32" s="2519" t="str">
        <f>IF(TITLE_DATE_PR_CHANGE="",IF(TITLE_DATE_PR="","",TITLE_DATE_PR),TITLE_DATE_PR_CHANGE)</f>
        <v>45280</v>
      </c>
      <c r="W32" s="2519"/>
      <c r="X32" s="2519"/>
      <c r="Y32" s="2519"/>
      <c r="Z32" s="2519"/>
      <c r="AA32" s="2519"/>
      <c r="AB32" s="687"/>
      <c r="AC32" s="2519" t="str">
        <f>IF(TITLE_DATE_PR_CHANGE="",IF(TITLE_DATE_PR="","",TITLE_DATE_PR),TITLE_DATE_PR_CHANGE)</f>
        <v>45280</v>
      </c>
      <c r="AD32" s="2519"/>
      <c r="AE32" s="2519"/>
      <c r="AF32" s="2519"/>
      <c r="AG32" s="2519"/>
      <c r="AH32" s="2519"/>
      <c r="AI32" s="687"/>
      <c r="AJ32" s="687"/>
      <c r="AK32" s="641"/>
      <c r="AL32" s="729"/>
      <c r="AM32" s="729"/>
      <c r="AN32" s="729"/>
      <c r="AO32" s="729"/>
      <c r="AP32" s="729"/>
    </row>
    <row s="32230" customFormat="1" customHeight="1" ht="18.75" hidden="1">
      <c r="A33" s="1734"/>
      <c r="B33" s="1734"/>
      <c r="C33" s="1734"/>
      <c r="D33" s="1734"/>
      <c r="E33" s="1734"/>
      <c r="F33" s="1734"/>
      <c r="G33" s="1734"/>
      <c r="H33" s="1734"/>
      <c r="I33" s="1734"/>
      <c r="J33" s="1734"/>
      <c r="K33" s="1734"/>
      <c r="L33" s="1735"/>
      <c r="M33" s="1734"/>
      <c r="N33" s="1734"/>
      <c r="O33" s="1734"/>
      <c r="S33" s="2518" t="s">
        <v>465</v>
      </c>
      <c r="T33" s="2518"/>
      <c r="U33" s="1738"/>
      <c r="V33" s="2520" t="str">
        <f>IF(TITLE_NUMBER_PR_CHANGE="",IF(TITLE_NUMBER_PR="","",TITLE_NUMBER_PR),TITLE_NUMBER_PR_CHANGE)</f>
        <v>51/16</v>
      </c>
      <c r="W33" s="2520"/>
      <c r="X33" s="2520"/>
      <c r="Y33" s="2520"/>
      <c r="Z33" s="2520"/>
      <c r="AA33" s="2520"/>
      <c r="AB33" s="687"/>
      <c r="AC33" s="2520" t="str">
        <f>IF(TITLE_NUMBER_PR_CHANGE="",IF(TITLE_NUMBER_PR="","",TITLE_NUMBER_PR),TITLE_NUMBER_PR_CHANGE)</f>
        <v>51/16</v>
      </c>
      <c r="AD33" s="2520"/>
      <c r="AE33" s="2520"/>
      <c r="AF33" s="2520"/>
      <c r="AG33" s="2520"/>
      <c r="AH33" s="2520"/>
      <c r="AI33" s="687"/>
      <c r="AJ33" s="687"/>
      <c r="AK33" s="641"/>
      <c r="AL33" s="729"/>
      <c r="AM33" s="729"/>
      <c r="AN33" s="729"/>
      <c r="AO33" s="729"/>
      <c r="AP33" s="729"/>
    </row>
    <row s="32230" customFormat="1" customHeight="1" ht="0.75">
      <c r="A34" s="1734"/>
      <c r="B34" s="1734"/>
      <c r="C34" s="1734"/>
      <c r="D34" s="1734"/>
      <c r="E34" s="1734"/>
      <c r="F34" s="1734"/>
      <c r="G34" s="1734"/>
      <c r="H34" s="1734"/>
      <c r="I34" s="1734"/>
      <c r="J34" s="1734"/>
      <c r="K34" s="1734"/>
      <c r="L34" s="1735"/>
      <c r="M34" s="1734"/>
      <c r="N34" s="1734"/>
      <c r="O34" s="1734"/>
      <c r="S34" s="684"/>
      <c r="T34" s="684"/>
      <c r="U34" s="1820"/>
      <c r="V34" s="687"/>
      <c r="W34" s="687"/>
      <c r="X34" s="687"/>
      <c r="Y34" s="687"/>
      <c r="Z34" s="687"/>
      <c r="AA34" s="687"/>
      <c r="AB34" s="639" t="s">
        <v>466</v>
      </c>
      <c r="AC34" s="687"/>
      <c r="AD34" s="687"/>
      <c r="AE34" s="687"/>
      <c r="AF34" s="687"/>
      <c r="AG34" s="687"/>
      <c r="AH34" s="687"/>
      <c r="AI34" s="639" t="s">
        <v>466</v>
      </c>
      <c r="AL34" s="729"/>
      <c r="AM34" s="729"/>
      <c r="AN34" s="729"/>
      <c r="AO34" s="729"/>
      <c r="AP34" s="729"/>
    </row>
    <row customHeight="1" ht="14.25">
      <c r="Q35" s="737"/>
      <c r="R35" s="737"/>
      <c r="S35" s="1641"/>
      <c r="T35" s="724"/>
      <c r="U35" s="1609"/>
      <c r="V35" s="2544"/>
      <c r="W35" s="2544"/>
      <c r="X35" s="2544"/>
      <c r="Y35" s="2544"/>
      <c r="Z35" s="2544"/>
      <c r="AA35" s="2544"/>
      <c r="AB35" s="2544"/>
      <c r="AC35" s="2544"/>
      <c r="AD35" s="2544"/>
      <c r="AE35" s="2544"/>
      <c r="AF35" s="2544"/>
      <c r="AG35" s="2544"/>
      <c r="AH35" s="2544"/>
      <c r="AI35" s="2544"/>
    </row>
    <row customHeight="1" ht="14.25">
      <c r="Q36" s="737"/>
      <c r="R36" s="737"/>
      <c r="S36" s="2392" t="s">
        <v>341</v>
      </c>
      <c r="T36" s="2392"/>
      <c r="U36" s="2392"/>
      <c r="V36" s="2392"/>
      <c r="W36" s="2392"/>
      <c r="X36" s="2392"/>
      <c r="Y36" s="2392"/>
      <c r="Z36" s="2392"/>
      <c r="AA36" s="2392"/>
      <c r="AB36" s="2392"/>
      <c r="AC36" s="2392"/>
      <c r="AD36" s="2392"/>
      <c r="AE36" s="2392"/>
      <c r="AF36" s="2392"/>
      <c r="AG36" s="2392"/>
      <c r="AH36" s="2392"/>
      <c r="AI36" s="2392"/>
      <c r="AJ36" s="2392"/>
      <c r="AK36" s="2392" t="s">
        <v>342</v>
      </c>
    </row>
    <row customHeight="1" ht="14.25">
      <c r="Q37" s="737"/>
      <c r="R37" s="737"/>
      <c r="S37" s="2545" t="s">
        <v>87</v>
      </c>
      <c r="T37" s="2482" t="s">
        <v>467</v>
      </c>
      <c r="U37" s="662"/>
      <c r="V37" s="2546" t="s">
        <v>468</v>
      </c>
      <c r="W37" s="2547"/>
      <c r="X37" s="2547"/>
      <c r="Y37" s="2547"/>
      <c r="Z37" s="2547"/>
      <c r="AA37" s="2548"/>
      <c r="AB37" s="2549" t="s">
        <v>469</v>
      </c>
      <c r="AC37" s="2546" t="s">
        <v>468</v>
      </c>
      <c r="AD37" s="2547"/>
      <c r="AE37" s="2547"/>
      <c r="AF37" s="2547"/>
      <c r="AG37" s="2547"/>
      <c r="AH37" s="2548"/>
      <c r="AI37" s="2549" t="s">
        <v>470</v>
      </c>
      <c r="AJ37" s="2552" t="s">
        <v>471</v>
      </c>
      <c r="AK37" s="2392"/>
    </row>
    <row customHeight="1" ht="33.75">
      <c r="Q38" s="737"/>
      <c r="R38" s="737"/>
      <c r="S38" s="2545"/>
      <c r="T38" s="2482"/>
      <c r="U38" s="1393"/>
      <c r="V38" s="1818" t="s">
        <v>528</v>
      </c>
      <c r="W38" s="2538" t="s">
        <v>474</v>
      </c>
      <c r="X38" s="2540"/>
      <c r="Y38" s="2538" t="s">
        <v>475</v>
      </c>
      <c r="Z38" s="2539"/>
      <c r="AA38" s="2540"/>
      <c r="AB38" s="2550"/>
      <c r="AC38" s="1818" t="s">
        <v>528</v>
      </c>
      <c r="AD38" s="2538" t="s">
        <v>474</v>
      </c>
      <c r="AE38" s="2540"/>
      <c r="AF38" s="2538" t="s">
        <v>475</v>
      </c>
      <c r="AG38" s="2539"/>
      <c r="AH38" s="2540"/>
      <c r="AI38" s="2550"/>
      <c r="AJ38" s="2553"/>
      <c r="AK38" s="2392"/>
    </row>
    <row customHeight="1" ht="33.75">
      <c r="A39" s="1736"/>
      <c r="B39" s="1736" t="s">
        <v>143</v>
      </c>
      <c r="C39" s="1736" t="s">
        <v>144</v>
      </c>
      <c r="D39" s="1736" t="s">
        <v>145</v>
      </c>
      <c r="E39" s="1730" t="s">
        <v>476</v>
      </c>
      <c r="F39" s="1730" t="s">
        <v>477</v>
      </c>
      <c r="G39" s="1730" t="s">
        <v>478</v>
      </c>
      <c r="H39" s="1730"/>
      <c r="I39" s="1730" t="s">
        <v>529</v>
      </c>
      <c r="J39" s="1730" t="s">
        <v>481</v>
      </c>
      <c r="K39" s="1730" t="s">
        <v>530</v>
      </c>
      <c r="L39" s="1730" t="s">
        <v>457</v>
      </c>
      <c r="Q39" s="737"/>
      <c r="R39" s="737"/>
      <c r="S39" s="2545"/>
      <c r="T39" s="2482"/>
      <c r="U39" s="663"/>
      <c r="V39" s="1818" t="s">
        <v>531</v>
      </c>
      <c r="W39" s="1587" t="s">
        <v>532</v>
      </c>
      <c r="X39" s="1587" t="s">
        <v>533</v>
      </c>
      <c r="Y39" s="1821" t="s">
        <v>485</v>
      </c>
      <c r="Z39" s="2541" t="s">
        <v>486</v>
      </c>
      <c r="AA39" s="2542"/>
      <c r="AB39" s="2551"/>
      <c r="AC39" s="1818" t="s">
        <v>531</v>
      </c>
      <c r="AD39" s="1587" t="s">
        <v>532</v>
      </c>
      <c r="AE39" s="1587" t="s">
        <v>533</v>
      </c>
      <c r="AF39" s="1821" t="s">
        <v>485</v>
      </c>
      <c r="AG39" s="2541" t="s">
        <v>486</v>
      </c>
      <c r="AH39" s="2542"/>
      <c r="AI39" s="2551"/>
      <c r="AJ39" s="2554"/>
      <c r="AK39" s="2392"/>
    </row>
    <row s="32049" customFormat="1" customHeight="1" ht="0">
      <c r="A40" s="1736"/>
      <c r="B40" s="1736"/>
      <c r="C40" s="1736"/>
      <c r="D40" s="1736"/>
      <c r="E40" s="1736"/>
      <c r="F40" s="1736"/>
      <c r="G40" s="1736"/>
      <c r="H40" s="1736"/>
      <c r="I40" s="1736"/>
      <c r="J40" s="1736"/>
      <c r="K40" s="1736"/>
      <c r="L40" s="1730"/>
      <c r="M40" s="1728"/>
      <c r="N40" s="1728"/>
      <c r="O40" s="1728"/>
      <c r="P40" s="1611"/>
      <c r="Q40" s="1612"/>
      <c r="R40" s="1619">
        <v>1</v>
      </c>
      <c r="S40" s="1643" t="s">
        <v>118</v>
      </c>
      <c r="T40" s="1620" t="s">
        <v>102</v>
      </c>
      <c r="U40" s="1610" t="str">
        <f>OFFSET(U40,0,-1)</f>
        <v>2</v>
      </c>
      <c r="V40" s="1817">
        <f>OFFSET(V40,0,-1)+1</f>
        <v>3</v>
      </c>
      <c r="W40" s="1817">
        <f>OFFSET(W40,0,-1)+1</f>
        <v>4</v>
      </c>
      <c r="X40" s="1817">
        <f>OFFSET(X40,0,-1)+1</f>
        <v>5</v>
      </c>
      <c r="Y40" s="1817">
        <f>OFFSET(Y40,0,-1)+1</f>
        <v>6</v>
      </c>
      <c r="Z40" s="2543">
        <f>OFFSET(Z40,0,-1)+1</f>
        <v>7</v>
      </c>
      <c r="AA40" s="2543"/>
      <c r="AB40" s="1817">
        <f>OFFSET(AB40,0,-2)+1</f>
        <v>8</v>
      </c>
      <c r="AC40" s="1817">
        <f>OFFSET(AC40,0,-1)+1</f>
        <v>9</v>
      </c>
      <c r="AD40" s="1817">
        <f>OFFSET(AD40,0,-1)+1</f>
        <v>10</v>
      </c>
      <c r="AE40" s="1817">
        <f>OFFSET(AE40,0,-1)+1</f>
        <v>11</v>
      </c>
      <c r="AF40" s="1817">
        <f>OFFSET(AF40,0,-1)+1</f>
        <v>12</v>
      </c>
      <c r="AG40" s="2543">
        <f>OFFSET(AG40,0,-1)+1</f>
        <v>13</v>
      </c>
      <c r="AH40" s="2543"/>
      <c r="AI40" s="1817">
        <f>OFFSET(AI40,0,-2)+1</f>
        <v>14</v>
      </c>
      <c r="AJ40" s="1610">
        <f>OFFSET(AJ40,0,-1)</f>
        <v>14</v>
      </c>
      <c r="AK40" s="1817">
        <f>OFFSET(AK40,0,-1)+1</f>
        <v>15</v>
      </c>
      <c r="AL40" s="872"/>
      <c r="AM40" s="872"/>
      <c r="AN40" s="872"/>
      <c r="AO40" s="872"/>
      <c r="AP40" s="872"/>
    </row>
    <row customHeight="1" ht="23.25">
      <c r="A41" s="1729" t="s">
        <v>245</v>
      </c>
      <c r="B41" s="1729"/>
      <c r="C41" s="1729"/>
      <c r="D41" s="1729"/>
      <c r="E41" s="2527">
        <v>1</v>
      </c>
      <c r="F41" s="1729"/>
      <c r="G41" s="1729"/>
      <c r="H41" s="1729"/>
      <c r="I41" s="1729"/>
      <c r="J41" s="1729"/>
      <c r="K41" s="1729"/>
      <c r="L41" s="1730"/>
      <c r="M41" s="1731"/>
      <c r="N41" s="1731"/>
      <c r="O41" s="1731"/>
      <c r="P41" s="722"/>
      <c r="Q41" s="721"/>
      <c r="R41" s="716"/>
      <c r="S41" s="1823">
        <f>INDEX(PT_DIFFERENTIATION_NUM_NTAR,MATCH(A41,PT_DIFFERENTIATION_NTAR_ID,0))</f>
        <v>0</v>
      </c>
      <c r="T41" s="659" t="s">
        <v>131</v>
      </c>
      <c r="U41" s="661"/>
      <c r="V41" s="2521"/>
      <c r="W41" s="2522"/>
      <c r="X41" s="2522"/>
      <c r="Y41" s="2522"/>
      <c r="Z41" s="2522"/>
      <c r="AA41" s="2522"/>
      <c r="AB41" s="2523"/>
      <c r="AC41" s="2521" t="str">
        <f>INDEX(PT_DIFFERENTIATION_NTAR,MATCH(A41,PT_DIFFERENTIATION_NTAR_ID,0))</f>
        <v/>
      </c>
      <c r="AD41" s="2522"/>
      <c r="AE41" s="2522"/>
      <c r="AF41" s="2522"/>
      <c r="AG41" s="2522"/>
      <c r="AH41" s="2522"/>
      <c r="AI41" s="2522"/>
      <c r="AJ41" s="2523"/>
      <c r="AK41"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861"/>
      <c r="AN41" s="861" t="str">
        <f>IF(T41="","",T41)</f>
        <v>Наименование тарифа</v>
      </c>
      <c r="AO41" s="861"/>
      <c r="AP41" s="861"/>
    </row>
    <row customHeight="1" ht="23.25">
      <c r="A42" s="1729" t="s">
        <v>245</v>
      </c>
      <c r="B42" s="1729" t="s">
        <v>246</v>
      </c>
      <c r="C42" s="1729"/>
      <c r="D42" s="1729"/>
      <c r="E42" s="2528"/>
      <c r="F42" s="2527">
        <v>1</v>
      </c>
      <c r="G42" s="1729"/>
      <c r="H42" s="1729"/>
      <c r="I42" s="1729"/>
      <c r="J42" s="1729"/>
      <c r="K42" s="1729"/>
      <c r="L42" s="1730"/>
      <c r="M42" s="1731"/>
      <c r="N42" s="1731"/>
      <c r="O42" s="1731"/>
      <c r="P42" s="1819"/>
      <c r="Q42" s="713"/>
      <c r="R42" s="714"/>
      <c r="S42" s="1823" t="str">
        <f>INDEX(PT_DIFFERENTIATION_NUM_TER,MATCH(B42,PT_DIFFERENTIATION_TER_ID,0))</f>
        <v>.</v>
      </c>
      <c r="T42" s="669" t="s">
        <v>438</v>
      </c>
      <c r="U42" s="661"/>
      <c r="V42" s="2521"/>
      <c r="W42" s="2522"/>
      <c r="X42" s="2522"/>
      <c r="Y42" s="2522"/>
      <c r="Z42" s="2522"/>
      <c r="AA42" s="2522"/>
      <c r="AB42" s="2523"/>
      <c r="AC42" s="2521" t="str">
        <f>INDEX(PT_DIFFERENTIATION_TER,MATCH(B42,PT_DIFFERENTIATION_TER_ID,0))</f>
        <v/>
      </c>
      <c r="AD42" s="2522"/>
      <c r="AE42" s="2522"/>
      <c r="AF42" s="2522"/>
      <c r="AG42" s="2522"/>
      <c r="AH42" s="2522"/>
      <c r="AI42" s="2522"/>
      <c r="AJ42" s="2523"/>
      <c r="AK42" s="1623" t="s">
        <v>439</v>
      </c>
      <c r="AM42" s="861"/>
      <c r="AN42" s="861" t="str">
        <f>IF(T42="","",T42)</f>
        <v>Территория действия тарифа</v>
      </c>
      <c r="AO42" s="861"/>
      <c r="AP42" s="861"/>
    </row>
    <row customHeight="1" ht="23.25">
      <c r="A43" s="1729" t="s">
        <v>245</v>
      </c>
      <c r="B43" s="1729" t="s">
        <v>246</v>
      </c>
      <c r="C43" s="1729" t="s">
        <v>247</v>
      </c>
      <c r="D43" s="1729"/>
      <c r="E43" s="2528"/>
      <c r="F43" s="2528"/>
      <c r="G43" s="2527">
        <v>1</v>
      </c>
      <c r="H43" s="1729"/>
      <c r="I43" s="1729"/>
      <c r="J43" s="1729"/>
      <c r="K43" s="1729"/>
      <c r="L43" s="1730"/>
      <c r="M43" s="1731"/>
      <c r="N43" s="1731"/>
      <c r="O43" s="1731"/>
      <c r="P43" s="715"/>
      <c r="Q43" s="713"/>
      <c r="R43" s="714"/>
      <c r="S43" s="1823" t="str">
        <f>INDEX(PT_DIFFERENTIATION_NUM_CS,MATCH(C43,PT_DIFFERENTIATION_CS_ID,0))</f>
        <v>..</v>
      </c>
      <c r="T43" s="670" t="s">
        <v>520</v>
      </c>
      <c r="U43" s="661"/>
      <c r="V43" s="2521"/>
      <c r="W43" s="2522"/>
      <c r="X43" s="2522"/>
      <c r="Y43" s="2522"/>
      <c r="Z43" s="2522"/>
      <c r="AA43" s="2522"/>
      <c r="AB43" s="2523"/>
      <c r="AC43" s="2521" t="str">
        <f>INDEX(PT_DIFFERENTIATION_CS,MATCH(C43,PT_DIFFERENTIATION_CS_ID,0))</f>
        <v/>
      </c>
      <c r="AD43" s="2522"/>
      <c r="AE43" s="2522"/>
      <c r="AF43" s="2522"/>
      <c r="AG43" s="2522"/>
      <c r="AH43" s="2522"/>
      <c r="AI43" s="2522"/>
      <c r="AJ43" s="2523"/>
      <c r="AK43" s="1623" t="s">
        <v>521</v>
      </c>
      <c r="AM43" s="861"/>
      <c r="AN43" s="861" t="str">
        <f>IF(T43="","",T43)</f>
        <v>Наименование централизованной системы холодного водоснабжения</v>
      </c>
      <c r="AO43" s="861"/>
      <c r="AP43" s="861"/>
    </row>
    <row customHeight="1" ht="23.25">
      <c r="A44" s="1729" t="s">
        <v>245</v>
      </c>
      <c r="B44" s="1729" t="s">
        <v>246</v>
      </c>
      <c r="C44" s="1729" t="s">
        <v>247</v>
      </c>
      <c r="D44" s="1729" t="s">
        <v>537</v>
      </c>
      <c r="E44" s="2528"/>
      <c r="F44" s="2528"/>
      <c r="G44" s="2528"/>
      <c r="H44" s="2528"/>
      <c r="I44" s="2529" t="str">
        <f>S43&amp;".1"</f>
        <v>...1</v>
      </c>
      <c r="J44" s="1729"/>
      <c r="K44" s="1729"/>
      <c r="L44" s="1730"/>
      <c r="P44" s="2531">
        <v>1</v>
      </c>
      <c r="Q44" s="1816"/>
      <c r="R44" s="717"/>
      <c r="S44" s="1823" t="str">
        <f>$I44</f>
        <v>...1</v>
      </c>
      <c r="T44" s="646" t="s">
        <v>522</v>
      </c>
      <c r="U44" s="661"/>
      <c r="V44" s="2614"/>
      <c r="W44" s="2615"/>
      <c r="X44" s="2615"/>
      <c r="Y44" s="2615"/>
      <c r="Z44" s="2615"/>
      <c r="AA44" s="2615"/>
      <c r="AB44" s="2616"/>
      <c r="AC44" s="2617"/>
      <c r="AD44" s="2618"/>
      <c r="AE44" s="2618"/>
      <c r="AF44" s="2618"/>
      <c r="AG44" s="2618"/>
      <c r="AH44" s="2618"/>
      <c r="AI44" s="2618"/>
      <c r="AJ44" s="2619"/>
      <c r="AK44" s="1623" t="s">
        <v>523</v>
      </c>
      <c r="AM44" s="861"/>
      <c r="AN44" s="861" t="str">
        <f>IF(T44="","",T44)</f>
        <v>Наименование признака дифференциации</v>
      </c>
      <c r="AO44" s="861"/>
      <c r="AP44" s="861"/>
    </row>
    <row customHeight="1" ht="23.25">
      <c r="A45" s="1729" t="s">
        <v>245</v>
      </c>
      <c r="B45" s="1729" t="s">
        <v>246</v>
      </c>
      <c r="C45" s="1729" t="s">
        <v>247</v>
      </c>
      <c r="D45" s="1729" t="s">
        <v>537</v>
      </c>
      <c r="E45" s="2528"/>
      <c r="F45" s="2528"/>
      <c r="G45" s="2528"/>
      <c r="H45" s="2528"/>
      <c r="I45" s="2530"/>
      <c r="J45" s="2529" t="str">
        <f>I44&amp;".1"</f>
        <v>...1.1</v>
      </c>
      <c r="K45" s="1729"/>
      <c r="L45" s="1730" t="s">
        <v>447</v>
      </c>
      <c r="P45" s="2531"/>
      <c r="Q45" s="2531">
        <v>1</v>
      </c>
      <c r="R45" s="718"/>
      <c r="S45" s="1823" t="str">
        <f>$J45</f>
        <v>...1.1</v>
      </c>
      <c r="T45" s="647" t="s">
        <v>448</v>
      </c>
      <c r="U45" s="661"/>
      <c r="V45" s="2515"/>
      <c r="W45" s="2516"/>
      <c r="X45" s="2516"/>
      <c r="Y45" s="2516"/>
      <c r="Z45" s="2516"/>
      <c r="AA45" s="2516"/>
      <c r="AB45" s="2517"/>
      <c r="AC45" s="2515"/>
      <c r="AD45" s="2516"/>
      <c r="AE45" s="2516"/>
      <c r="AF45" s="2516"/>
      <c r="AG45" s="2516"/>
      <c r="AH45" s="2516"/>
      <c r="AI45" s="2516"/>
      <c r="AJ45" s="2517"/>
      <c r="AK45" s="1673" t="s">
        <v>524</v>
      </c>
      <c r="AM45" s="861"/>
      <c r="AN45" s="861" t="str">
        <f>IF(T45="","",T45)</f>
        <v>Группа потребителей</v>
      </c>
      <c r="AO45" s="861"/>
      <c r="AP45" s="861"/>
    </row>
    <row customHeight="1" ht="23.25">
      <c r="A46" s="1729" t="s">
        <v>245</v>
      </c>
      <c r="B46" s="1729" t="s">
        <v>246</v>
      </c>
      <c r="C46" s="1729" t="s">
        <v>247</v>
      </c>
      <c r="D46" s="1729" t="s">
        <v>537</v>
      </c>
      <c r="E46" s="2528"/>
      <c r="F46" s="2528"/>
      <c r="G46" s="2528"/>
      <c r="H46" s="2528"/>
      <c r="I46" s="2530"/>
      <c r="J46" s="2530"/>
      <c r="K46" s="2529" t="str">
        <f>J45&amp;".1"</f>
        <v>...1.1.1</v>
      </c>
      <c r="L46" s="1730"/>
      <c r="P46" s="2531"/>
      <c r="Q46" s="2531"/>
      <c r="R46" s="718">
        <v>1</v>
      </c>
      <c r="S46" s="1823" t="str">
        <f>$K46</f>
        <v>...1.1.1</v>
      </c>
      <c r="T46" s="1803"/>
      <c r="U46" s="661"/>
      <c r="V46" s="1112"/>
      <c r="W46" s="1112"/>
      <c r="X46" s="1622"/>
      <c r="Y46" s="2532"/>
      <c r="Z46" s="2402" t="s">
        <v>66</v>
      </c>
      <c r="AA46" s="2532"/>
      <c r="AB46" s="2402" t="s">
        <v>66</v>
      </c>
      <c r="AC46" s="1112"/>
      <c r="AD46" s="1112"/>
      <c r="AE46" s="1622"/>
      <c r="AF46" s="2532"/>
      <c r="AG46" s="2402" t="s">
        <v>66</v>
      </c>
      <c r="AH46" s="2534"/>
      <c r="AI46" s="2402" t="s">
        <v>66</v>
      </c>
      <c r="AJ46" s="1804"/>
      <c r="AK46" s="26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72">
        <f>STRCHECKDATE(V47:AJ47)</f>
      </c>
      <c r="AM46" s="861"/>
      <c r="AN46" s="861" t="str">
        <f>IF(T46="","",T46)</f>
        <v/>
      </c>
      <c r="AO46" s="861"/>
      <c r="AP46" s="861"/>
    </row>
    <row customHeight="1" ht="0">
      <c r="A47" s="1729" t="s">
        <v>245</v>
      </c>
      <c r="B47" s="1729" t="s">
        <v>246</v>
      </c>
      <c r="C47" s="1729" t="s">
        <v>247</v>
      </c>
      <c r="D47" s="1729" t="s">
        <v>537</v>
      </c>
      <c r="E47" s="2528"/>
      <c r="F47" s="2528"/>
      <c r="G47" s="2528"/>
      <c r="H47" s="2528"/>
      <c r="I47" s="2530"/>
      <c r="J47" s="2530"/>
      <c r="K47" s="2529"/>
      <c r="L47" s="1730"/>
      <c r="P47" s="2531"/>
      <c r="Q47" s="2531"/>
      <c r="R47" s="718"/>
      <c r="S47" s="1822"/>
      <c r="T47" s="661"/>
      <c r="U47" s="661"/>
      <c r="V47" s="686"/>
      <c r="W47" s="686"/>
      <c r="X47" s="689" t="str">
        <f>Y46&amp;"-"&amp;AA46</f>
        <v>-</v>
      </c>
      <c r="Y47" s="2533"/>
      <c r="Z47" s="2402"/>
      <c r="AA47" s="2533"/>
      <c r="AB47" s="2402"/>
      <c r="AC47" s="686"/>
      <c r="AD47" s="686"/>
      <c r="AE47" s="689" t="str">
        <f>AF46&amp;"-"&amp;AH46</f>
        <v>-</v>
      </c>
      <c r="AF47" s="2533"/>
      <c r="AG47" s="2402"/>
      <c r="AH47" s="2535"/>
      <c r="AI47" s="2402"/>
      <c r="AJ47" s="1805"/>
      <c r="AK47" s="2620"/>
      <c r="AM47" s="861"/>
      <c r="AN47" s="861" t="str">
        <f>IF(T47="","",T47)</f>
        <v/>
      </c>
      <c r="AO47" s="861"/>
      <c r="AP47" s="861"/>
    </row>
    <row customHeight="1" ht="21">
      <c r="A48" s="1729" t="s">
        <v>245</v>
      </c>
      <c r="B48" s="1729" t="s">
        <v>246</v>
      </c>
      <c r="C48" s="1729" t="s">
        <v>247</v>
      </c>
      <c r="D48" s="1729" t="s">
        <v>537</v>
      </c>
      <c r="E48" s="2528"/>
      <c r="F48" s="2528"/>
      <c r="G48" s="2528"/>
      <c r="H48" s="2528"/>
      <c r="I48" s="2530"/>
      <c r="J48" s="2529"/>
      <c r="K48" s="1729"/>
      <c r="L48" s="1730"/>
      <c r="P48" s="2531"/>
      <c r="Q48" s="2531"/>
      <c r="R48" s="717"/>
      <c r="S48" s="1644"/>
      <c r="T48" s="648" t="s">
        <v>525</v>
      </c>
      <c r="U48" s="728"/>
      <c r="V48" s="728"/>
      <c r="W48" s="728"/>
      <c r="X48" s="728"/>
      <c r="Y48" s="728"/>
      <c r="Z48" s="728"/>
      <c r="AA48" s="728"/>
      <c r="AB48" s="728"/>
      <c r="AC48" s="728"/>
      <c r="AD48" s="728"/>
      <c r="AE48" s="728"/>
      <c r="AF48" s="728"/>
      <c r="AG48" s="728"/>
      <c r="AH48" s="728"/>
      <c r="AI48" s="728"/>
      <c r="AJ48" s="728"/>
      <c r="AK48" s="1623" t="s">
        <v>526</v>
      </c>
      <c r="AM48" s="861"/>
      <c r="AN48" s="861" t="str">
        <f>IF(T48="","",T48)</f>
        <v>Добавить значение признака дифференциации</v>
      </c>
      <c r="AO48" s="861"/>
      <c r="AP48" s="861"/>
    </row>
    <row customHeight="1" ht="21">
      <c r="A49" s="1729" t="s">
        <v>245</v>
      </c>
      <c r="B49" s="1729" t="s">
        <v>246</v>
      </c>
      <c r="C49" s="1729" t="s">
        <v>247</v>
      </c>
      <c r="D49" s="1729" t="s">
        <v>537</v>
      </c>
      <c r="E49" s="2528"/>
      <c r="F49" s="2528"/>
      <c r="G49" s="2528"/>
      <c r="H49" s="2528"/>
      <c r="I49" s="2529"/>
      <c r="J49" s="1729"/>
      <c r="K49" s="1729"/>
      <c r="L49" s="1730"/>
      <c r="P49" s="2531"/>
      <c r="Q49" s="1816"/>
      <c r="R49" s="717"/>
      <c r="S49" s="1644"/>
      <c r="T49" s="726" t="s">
        <v>453</v>
      </c>
      <c r="U49" s="728"/>
      <c r="V49" s="728"/>
      <c r="W49" s="728"/>
      <c r="X49" s="728"/>
      <c r="Y49" s="728"/>
      <c r="Z49" s="728"/>
      <c r="AA49" s="728"/>
      <c r="AB49" s="727"/>
      <c r="AC49" s="728"/>
      <c r="AD49" s="728"/>
      <c r="AE49" s="728"/>
      <c r="AF49" s="728"/>
      <c r="AG49" s="728"/>
      <c r="AH49" s="728"/>
      <c r="AI49" s="727"/>
      <c r="AJ49" s="728"/>
      <c r="AK49" s="1806"/>
      <c r="AM49" s="861"/>
      <c r="AN49" s="861" t="str">
        <f>IF(T49="","",T49)</f>
        <v>Добавить группу потребителей</v>
      </c>
      <c r="AO49" s="861"/>
      <c r="AP49" s="861"/>
    </row>
    <row customHeight="1" ht="21">
      <c r="A50" s="1729" t="s">
        <v>245</v>
      </c>
      <c r="B50" s="1729" t="s">
        <v>246</v>
      </c>
      <c r="C50" s="1729" t="s">
        <v>247</v>
      </c>
      <c r="D50" s="1729" t="s">
        <v>537</v>
      </c>
      <c r="E50" s="2528"/>
      <c r="F50" s="2528"/>
      <c r="G50" s="2528"/>
      <c r="H50" s="2527"/>
      <c r="I50" s="1729"/>
      <c r="J50" s="1729"/>
      <c r="K50" s="1729"/>
      <c r="L50" s="1730"/>
      <c r="M50" s="1731"/>
      <c r="N50" s="1731"/>
      <c r="O50" s="898"/>
      <c r="P50" s="721"/>
      <c r="Q50" s="736"/>
      <c r="R50" s="716"/>
      <c r="S50" s="1644"/>
      <c r="T50" s="733" t="s">
        <v>527</v>
      </c>
      <c r="U50" s="728"/>
      <c r="V50" s="728"/>
      <c r="W50" s="728"/>
      <c r="X50" s="728"/>
      <c r="Y50" s="728"/>
      <c r="Z50" s="728"/>
      <c r="AA50" s="728"/>
      <c r="AB50" s="727"/>
      <c r="AC50" s="728"/>
      <c r="AD50" s="728"/>
      <c r="AE50" s="728"/>
      <c r="AF50" s="728"/>
      <c r="AG50" s="728"/>
      <c r="AH50" s="728"/>
      <c r="AI50" s="727"/>
      <c r="AJ50" s="728"/>
      <c r="AK50" s="664"/>
      <c r="AM50" s="861"/>
      <c r="AN50" s="861" t="str">
        <f>IF(T50="","",T50)</f>
        <v>Добавить наименование признака дифференциации</v>
      </c>
      <c r="AO50" s="861"/>
      <c r="AP50" s="861"/>
    </row>
    <row s="32198" customFormat="1" customHeight="1" ht="0">
      <c r="A51" s="1709" t="s">
        <v>245</v>
      </c>
      <c r="B51" s="1709" t="s">
        <v>246</v>
      </c>
      <c r="C51" s="1680"/>
      <c r="D51" s="1680"/>
      <c r="E51" s="2528"/>
      <c r="F51" s="2527"/>
      <c r="G51" s="1680"/>
      <c r="H51" s="1680"/>
      <c r="I51" s="1680"/>
      <c r="J51" s="1680"/>
      <c r="K51" s="1680"/>
      <c r="L51" s="1824"/>
      <c r="M51" s="1687"/>
      <c r="N51" s="1687"/>
      <c r="P51" s="1682"/>
      <c r="Q51" s="1683"/>
      <c r="R51" s="1682"/>
      <c r="S51" s="1688"/>
      <c r="T51" s="1691" t="s">
        <v>262</v>
      </c>
      <c r="U51" s="1690"/>
      <c r="V51" s="1690"/>
      <c r="W51" s="1690"/>
      <c r="X51" s="1690"/>
      <c r="Y51" s="1690"/>
      <c r="Z51" s="1690"/>
      <c r="AA51" s="1690"/>
      <c r="AB51" s="1690"/>
      <c r="AC51" s="1690"/>
      <c r="AD51" s="1690"/>
      <c r="AE51" s="1690"/>
      <c r="AF51" s="1690"/>
      <c r="AG51" s="1690"/>
      <c r="AH51" s="1690"/>
      <c r="AI51" s="1690"/>
      <c r="AJ51" s="1690"/>
      <c r="AK51" s="1690"/>
      <c r="AM51" s="1150"/>
      <c r="AN51" s="1150" t="str">
        <f>IF(T51="","",T51)</f>
        <v>Добавить централизованную систему для дифференциации</v>
      </c>
      <c r="AO51" s="1150"/>
      <c r="AP51" s="1150"/>
    </row>
    <row s="32289" customFormat="1" customHeight="1" ht="0">
      <c r="A52" s="1709" t="s">
        <v>245</v>
      </c>
      <c r="B52" s="1709"/>
      <c r="C52" s="1709"/>
      <c r="D52" s="1709"/>
      <c r="E52" s="2527"/>
      <c r="F52" s="1709"/>
      <c r="G52" s="1709"/>
      <c r="H52" s="1709"/>
      <c r="I52" s="1709"/>
      <c r="J52" s="1709"/>
      <c r="K52" s="1709"/>
      <c r="L52" s="1712"/>
      <c r="M52" s="1687"/>
      <c r="N52" s="1687"/>
      <c r="O52" s="879"/>
      <c r="P52" s="741"/>
      <c r="Q52" s="1710"/>
      <c r="R52" s="741"/>
      <c r="S52" s="1688"/>
      <c r="T52" s="1691" t="s">
        <v>270</v>
      </c>
      <c r="U52" s="1690"/>
      <c r="V52" s="1690"/>
      <c r="W52" s="1690"/>
      <c r="X52" s="1690"/>
      <c r="Y52" s="1690"/>
      <c r="Z52" s="1690"/>
      <c r="AA52" s="1690"/>
      <c r="AB52" s="1690"/>
      <c r="AC52" s="1690"/>
      <c r="AD52" s="1690"/>
      <c r="AE52" s="1690"/>
      <c r="AF52" s="1690"/>
      <c r="AG52" s="1690"/>
      <c r="AH52" s="1690"/>
      <c r="AI52" s="1690"/>
      <c r="AJ52" s="1690"/>
      <c r="AK52" s="1690"/>
      <c r="AM52" s="861"/>
      <c r="AN52" s="861" t="str">
        <f>IF(T52="","",T52)</f>
        <v>Добавить территорию для дифференциации</v>
      </c>
      <c r="AO52" s="861"/>
      <c r="AP52" s="861"/>
    </row>
    <row s="32198" customFormat="1" customHeight="1" ht="0">
      <c r="A53" s="1680"/>
      <c r="B53" s="1680"/>
      <c r="C53" s="1680"/>
      <c r="D53" s="1680"/>
      <c r="E53" s="1709"/>
      <c r="F53" s="1680"/>
      <c r="G53" s="1680"/>
      <c r="H53" s="1680"/>
      <c r="I53" s="1680"/>
      <c r="J53" s="1680"/>
      <c r="K53" s="1680"/>
      <c r="L53" s="1824"/>
      <c r="M53" s="1687"/>
      <c r="N53" s="1687"/>
      <c r="P53" s="1682"/>
      <c r="Q53" s="1683"/>
      <c r="R53" s="1682"/>
      <c r="S53" s="1688"/>
      <c r="T53" s="1691" t="s">
        <v>294</v>
      </c>
      <c r="U53" s="1690"/>
      <c r="V53" s="1690"/>
      <c r="W53" s="1690"/>
      <c r="X53" s="1690"/>
      <c r="Y53" s="1690"/>
      <c r="Z53" s="1690"/>
      <c r="AA53" s="1690"/>
      <c r="AB53" s="1690"/>
      <c r="AC53" s="1690"/>
      <c r="AD53" s="1690"/>
      <c r="AE53" s="1690"/>
      <c r="AF53" s="1690"/>
      <c r="AG53" s="1690"/>
      <c r="AH53" s="1690"/>
      <c r="AI53" s="1690"/>
      <c r="AJ53" s="1690"/>
      <c r="AK53" s="1690"/>
      <c r="AM53" s="1150"/>
      <c r="AN53" s="1150" t="str">
        <f>IF(T53="","",T53)</f>
        <v>Добавить наименование тарифа</v>
      </c>
      <c r="AO53" s="1150"/>
      <c r="AP53" s="1150"/>
    </row>
    <row customHeight="1" ht="11.25">
      <c r="M54" s="1523"/>
      <c r="N54" s="1523"/>
      <c r="O54" s="898"/>
      <c r="P54" s="1518"/>
      <c r="Q54" s="1518"/>
      <c r="R54" s="1518"/>
      <c r="S54" s="1518"/>
      <c r="AL54" s="1518"/>
      <c r="AM54" s="1518"/>
      <c r="AN54" s="1518"/>
      <c r="AO54" s="1518"/>
      <c r="AP54" s="1518"/>
    </row>
    <row customHeight="1" ht="14.25">
      <c r="O55" s="898"/>
      <c r="S55" s="1618"/>
      <c r="T55" s="2526"/>
      <c r="U55" s="2526"/>
      <c r="V55" s="2526"/>
      <c r="W55" s="2526"/>
      <c r="X55" s="2526"/>
      <c r="Y55" s="2526"/>
      <c r="Z55" s="2526"/>
      <c r="AA55" s="2526"/>
      <c r="AB55" s="2526"/>
      <c r="AC55" s="2526"/>
      <c r="AD55" s="2526"/>
      <c r="AE55" s="2526"/>
      <c r="AF55" s="2526"/>
      <c r="AG55" s="2526"/>
      <c r="AH55" s="2526"/>
      <c r="AI55" s="2526"/>
      <c r="AJ55" s="2526"/>
      <c r="AK55" s="2526"/>
    </row>
    <row customHeight="1" ht="14.25">
      <c r="O56" s="898"/>
    </row>
    <row customHeight="1" ht="14.25">
      <c r="O57" s="898"/>
      <c r="S57" s="1618"/>
      <c r="T57" s="2526"/>
      <c r="U57" s="2526"/>
      <c r="V57" s="2526"/>
      <c r="W57" s="2526"/>
      <c r="X57" s="2526"/>
      <c r="Y57" s="2526"/>
      <c r="Z57" s="2526"/>
      <c r="AA57" s="2526"/>
      <c r="AB57" s="2526"/>
      <c r="AC57" s="2526"/>
      <c r="AD57" s="2526"/>
      <c r="AE57" s="2526"/>
      <c r="AF57" s="2526"/>
      <c r="AG57" s="2526"/>
      <c r="AH57" s="2526"/>
      <c r="AI57" s="2526"/>
      <c r="AJ57" s="2526"/>
      <c r="AK57" s="252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0F84C-5F96-C288-DCAA-2A392151F188}" mc:Ignorable="x14ac xr xr2 xr3">
  <sheetPr>
    <tabColor theme="6" tint="0.4"/>
  </sheetPr>
  <dimension ref="A1:AP66"/>
  <sheetViews>
    <sheetView topLeftCell="A1" showGridLines="0" zoomScale="90" workbookViewId="0">
      <selection activeCell="AK27" sqref="AK27"/>
    </sheetView>
  </sheetViews>
  <sheetFormatPr defaultColWidth="10.57421875" customHeight="1" defaultRowHeight="14.25"/>
  <cols>
    <col min="1" max="3" style="32343" width="10.140625" customWidth="1"/>
    <col min="4" max="4" style="32343" width="11.8515625" customWidth="1"/>
    <col min="5" max="11" style="32343" width="10.140625" customWidth="1"/>
    <col min="12" max="12" style="32344" width="10.140625" customWidth="1"/>
    <col min="13" max="15" style="32345" width="10.140625" customWidth="1"/>
    <col min="16" max="16" style="32298" width="3.7109375" customWidth="1"/>
    <col min="17" max="17" style="32470" width="3.7109375" customWidth="1"/>
    <col min="18" max="18" style="32300" width="3.7109375" customWidth="1"/>
    <col min="19" max="19" style="32301" width="12.7109375" customWidth="1"/>
    <col min="20" max="20" style="32343" width="32.00390625" customWidth="1"/>
    <col min="21" max="21" style="32343" width="0.140625" customWidth="1"/>
    <col min="22" max="23" style="32343" width="21.7109375" customWidth="1"/>
    <col min="24" max="24" style="32343" width="11.7109375" customWidth="1"/>
    <col min="25" max="25" style="32343" width="3.7109375" customWidth="1"/>
    <col min="26" max="26" style="32343" width="11.7109375" customWidth="1"/>
    <col min="27" max="27" style="32343" width="8.57421875" customWidth="1"/>
    <col min="28" max="28" style="32343" width="28.00390625" customWidth="1"/>
    <col min="29" max="29" style="32343" width="24.57421875" customWidth="1"/>
    <col min="30" max="31" style="32343" width="21.7109375" customWidth="1"/>
    <col min="32" max="32" style="32343" width="11.7109375" customWidth="1"/>
    <col min="33" max="33" style="32343" width="3.7109375" customWidth="1"/>
    <col min="34" max="34" style="32343" width="11.7109375" customWidth="1"/>
    <col min="35" max="35" style="32343" width="8.57421875" customWidth="1"/>
    <col min="36" max="36" style="32343" width="4.7109375" customWidth="1"/>
    <col min="37" max="37" style="32343" width="115.7109375" customWidth="1"/>
    <col min="38" max="39" style="32341" width="10.57421875"/>
    <col min="40" max="40" style="32341" width="11.140625" customWidth="1"/>
    <col min="41" max="42" style="32341" width="10.57421875"/>
  </cols>
  <sheetData>
    <row r="2" customHeight="1" ht="21">
      <c r="A2" s="1633"/>
      <c r="B2" s="1633"/>
      <c r="C2" s="1633"/>
      <c r="D2" s="1633"/>
      <c r="E2" s="2562">
        <v>1</v>
      </c>
      <c r="F2" s="1633"/>
      <c r="G2" s="1633"/>
      <c r="H2" s="1633"/>
      <c r="I2" s="1633"/>
      <c r="J2" s="1633"/>
      <c r="K2" s="1633"/>
      <c r="L2" s="1676"/>
      <c r="M2" s="1976"/>
      <c r="N2" s="1976"/>
      <c r="O2" s="1976"/>
      <c r="P2" s="1775"/>
      <c r="Q2" s="1234"/>
      <c r="R2" s="716"/>
      <c r="S2" s="2325">
        <f>INDEX(PT_DIFFERENTIATION_NUM_NTAR,MATCH(A2,PT_DIFFERENTIATION_NTAR_ID,0))</f>
      </c>
      <c r="T2" s="1891" t="s">
        <v>131</v>
      </c>
      <c r="U2" s="661"/>
      <c r="V2" s="2522"/>
      <c r="W2" s="2522"/>
      <c r="X2" s="2522"/>
      <c r="Y2" s="2522"/>
      <c r="Z2" s="2522"/>
      <c r="AA2" s="2523"/>
      <c r="AB2" s="2319"/>
      <c r="AC2" s="2522"/>
      <c r="AD2" s="2522"/>
      <c r="AE2" s="2522"/>
      <c r="AF2" s="2522"/>
      <c r="AG2" s="2522"/>
      <c r="AH2" s="2522"/>
      <c r="AI2" s="2522"/>
      <c r="AJ2" s="2523"/>
      <c r="AK2" s="1623" t="s">
        <v>437</v>
      </c>
      <c r="AM2" s="1990"/>
      <c r="AN2" s="1990" t="str">
        <f>IF(T2="","",T2)</f>
        <v>Наименование тарифа</v>
      </c>
      <c r="AO2" s="1990"/>
      <c r="AP2" s="1990"/>
    </row>
    <row customHeight="1" ht="21">
      <c r="A3" s="1633"/>
      <c r="B3" s="1633"/>
      <c r="C3" s="1633"/>
      <c r="D3" s="1633"/>
      <c r="E3" s="2563"/>
      <c r="F3" s="2562">
        <v>1</v>
      </c>
      <c r="G3" s="1633"/>
      <c r="H3" s="1633"/>
      <c r="I3" s="1633"/>
      <c r="J3" s="1633"/>
      <c r="K3" s="1633"/>
      <c r="L3" s="1676"/>
      <c r="M3" s="1976"/>
      <c r="N3" s="1976"/>
      <c r="O3" s="1976"/>
      <c r="P3" s="2336"/>
      <c r="Q3" s="1777"/>
      <c r="R3" s="714"/>
      <c r="S3" s="2325">
        <f>INDEX(PT_DIFFERENTIATION_NUM_TER,MATCH(B3,PT_DIFFERENTIATION_TER_ID,0))</f>
      </c>
      <c r="T3" s="1888" t="s">
        <v>438</v>
      </c>
      <c r="U3" s="661"/>
      <c r="V3" s="2522"/>
      <c r="W3" s="2522"/>
      <c r="X3" s="2522"/>
      <c r="Y3" s="2522"/>
      <c r="Z3" s="2522"/>
      <c r="AA3" s="2523"/>
      <c r="AB3" s="2319"/>
      <c r="AC3" s="2522"/>
      <c r="AD3" s="2522"/>
      <c r="AE3" s="2522"/>
      <c r="AF3" s="2522"/>
      <c r="AG3" s="2522"/>
      <c r="AH3" s="2522"/>
      <c r="AI3" s="2522"/>
      <c r="AJ3" s="2523"/>
      <c r="AK3" s="1623" t="s">
        <v>439</v>
      </c>
      <c r="AM3" s="1990"/>
      <c r="AN3" s="1990" t="str">
        <f>IF(T3="","",T3)</f>
        <v>Территория действия тарифа</v>
      </c>
      <c r="AO3" s="1990"/>
      <c r="AP3" s="1990"/>
    </row>
    <row customHeight="1" ht="22.5">
      <c r="A4" s="1633"/>
      <c r="B4" s="1633"/>
      <c r="C4" s="1633"/>
      <c r="D4" s="1633"/>
      <c r="E4" s="2563"/>
      <c r="F4" s="2563"/>
      <c r="G4" s="2562">
        <v>1</v>
      </c>
      <c r="H4" s="1633"/>
      <c r="I4" s="1633"/>
      <c r="J4" s="1633"/>
      <c r="K4" s="1633"/>
      <c r="L4" s="1676"/>
      <c r="M4" s="1976"/>
      <c r="N4" s="1976"/>
      <c r="O4" s="1976"/>
      <c r="P4" s="1778"/>
      <c r="Q4" s="1777"/>
      <c r="R4" s="714"/>
      <c r="S4" s="2325">
        <f>INDEX(PT_DIFFERENTIATION_NUM_CS,MATCH(C4,PT_DIFFERENTIATION_CS_ID,0))</f>
      </c>
      <c r="T4" s="670" t="s">
        <v>440</v>
      </c>
      <c r="U4" s="661"/>
      <c r="V4" s="2522"/>
      <c r="W4" s="2522"/>
      <c r="X4" s="2522"/>
      <c r="Y4" s="2522"/>
      <c r="Z4" s="2522"/>
      <c r="AA4" s="2523"/>
      <c r="AB4" s="2319"/>
      <c r="AC4" s="2522"/>
      <c r="AD4" s="2522"/>
      <c r="AE4" s="2522"/>
      <c r="AF4" s="2522"/>
      <c r="AG4" s="2522"/>
      <c r="AH4" s="2522"/>
      <c r="AI4" s="2522"/>
      <c r="AJ4" s="2523"/>
      <c r="AK4" s="1623" t="s">
        <v>441</v>
      </c>
      <c r="AM4" s="1990"/>
      <c r="AN4" s="1990" t="str">
        <f>IF(T4="","",T4)</f>
        <v>Наименование системы теплоснабжения </v>
      </c>
      <c r="AO4" s="1990"/>
      <c r="AP4" s="1990"/>
    </row>
    <row customHeight="1" ht="21">
      <c r="A5" s="1633"/>
      <c r="B5" s="1633"/>
      <c r="C5" s="1633"/>
      <c r="D5" s="1633"/>
      <c r="E5" s="2563"/>
      <c r="F5" s="2563"/>
      <c r="G5" s="2563"/>
      <c r="H5" s="2562">
        <v>1</v>
      </c>
      <c r="I5" s="1633"/>
      <c r="J5" s="1633"/>
      <c r="K5" s="1633"/>
      <c r="L5" s="1676"/>
      <c r="M5" s="1976"/>
      <c r="N5" s="1976"/>
      <c r="O5" s="1976"/>
      <c r="P5" s="1778"/>
      <c r="Q5" s="1777"/>
      <c r="R5" s="714"/>
      <c r="S5" s="2325">
        <f>INDEX(PT_DIFFERENTIATION_NUM_IST_TE,MATCH(D5,PT_DIFFERENTIATION_IST_TE_ID,0))</f>
      </c>
      <c r="T5" s="671" t="s">
        <v>442</v>
      </c>
      <c r="U5" s="661"/>
      <c r="V5" s="2522"/>
      <c r="W5" s="2522"/>
      <c r="X5" s="2522"/>
      <c r="Y5" s="2522"/>
      <c r="Z5" s="2522"/>
      <c r="AA5" s="2523"/>
      <c r="AB5" s="2319"/>
      <c r="AC5" s="2522"/>
      <c r="AD5" s="2522"/>
      <c r="AE5" s="2522"/>
      <c r="AF5" s="2522"/>
      <c r="AG5" s="2522"/>
      <c r="AH5" s="2522"/>
      <c r="AI5" s="2522"/>
      <c r="AJ5" s="2523"/>
      <c r="AK5" s="1623" t="s">
        <v>443</v>
      </c>
      <c r="AM5" s="1990"/>
      <c r="AN5" s="1990" t="str">
        <f>IF(T5="","",T5)</f>
        <v>Источник тепловой энергии  </v>
      </c>
      <c r="AO5" s="1990"/>
      <c r="AP5" s="1990"/>
    </row>
    <row s="32341" customFormat="1" customHeight="1" ht="0">
      <c r="A6" s="1741"/>
      <c r="B6" s="1741"/>
      <c r="C6" s="1741"/>
      <c r="D6" s="1741"/>
      <c r="E6" s="2563"/>
      <c r="F6" s="2563"/>
      <c r="G6" s="2563"/>
      <c r="H6" s="2563"/>
      <c r="I6" s="2392">
        <f>S5&amp;".1"</f>
      </c>
      <c r="J6" s="1741"/>
      <c r="K6" s="1741"/>
      <c r="L6" s="1747" t="s">
        <v>444</v>
      </c>
      <c r="M6" s="1611"/>
      <c r="N6" s="1611"/>
      <c r="O6" s="1611"/>
      <c r="P6" s="2531">
        <v>1</v>
      </c>
      <c r="Q6" s="2321"/>
      <c r="R6" s="717"/>
      <c r="S6" s="1404"/>
      <c r="T6" s="1749"/>
      <c r="U6" s="1750"/>
      <c r="V6" s="2570"/>
      <c r="W6" s="2570"/>
      <c r="X6" s="2570"/>
      <c r="Y6" s="2570"/>
      <c r="Z6" s="2570"/>
      <c r="AA6" s="2571"/>
      <c r="AB6" s="2327"/>
      <c r="AC6" s="2570"/>
      <c r="AD6" s="2570"/>
      <c r="AE6" s="2570"/>
      <c r="AF6" s="2570"/>
      <c r="AG6" s="2570"/>
      <c r="AH6" s="2570"/>
      <c r="AI6" s="2570"/>
      <c r="AJ6" s="2571"/>
      <c r="AK6" s="1751"/>
      <c r="AM6" s="1990"/>
      <c r="AN6" s="1990" t="str">
        <f>IF(T6="","",T6)</f>
        <v/>
      </c>
      <c r="AO6" s="1990"/>
      <c r="AP6" s="1990"/>
    </row>
    <row s="32341" customFormat="1" customHeight="1" ht="0">
      <c r="A7" s="1741"/>
      <c r="B7" s="1741"/>
      <c r="C7" s="1741"/>
      <c r="D7" s="1741"/>
      <c r="E7" s="2563"/>
      <c r="F7" s="2563"/>
      <c r="G7" s="2563"/>
      <c r="H7" s="2563"/>
      <c r="I7" s="2376"/>
      <c r="J7" s="2392">
        <f>S5&amp;".1"</f>
      </c>
      <c r="K7" s="1741"/>
      <c r="L7" s="1747"/>
      <c r="M7" s="1611"/>
      <c r="N7" s="1611"/>
      <c r="O7" s="1611"/>
      <c r="P7" s="2531"/>
      <c r="Q7" s="2531">
        <v>1</v>
      </c>
      <c r="R7" s="718"/>
      <c r="S7" s="1404"/>
      <c r="T7" s="1765"/>
      <c r="U7" s="1750"/>
      <c r="V7" s="2570"/>
      <c r="W7" s="2570"/>
      <c r="X7" s="2570"/>
      <c r="Y7" s="2570"/>
      <c r="Z7" s="2570"/>
      <c r="AA7" s="2571"/>
      <c r="AB7" s="2327"/>
      <c r="AC7" s="2570"/>
      <c r="AD7" s="2570"/>
      <c r="AE7" s="2570"/>
      <c r="AF7" s="2570"/>
      <c r="AG7" s="2570"/>
      <c r="AH7" s="2570"/>
      <c r="AI7" s="2570"/>
      <c r="AJ7" s="2571"/>
      <c r="AK7" s="1751"/>
      <c r="AM7" s="1990"/>
      <c r="AN7" s="1990" t="str">
        <f>IF(T7="","",T7)</f>
        <v/>
      </c>
      <c r="AO7" s="1990"/>
      <c r="AP7" s="1990"/>
    </row>
    <row customHeight="1" ht="21">
      <c r="A8" s="1633"/>
      <c r="B8" s="1633"/>
      <c r="C8" s="1633"/>
      <c r="D8" s="1633"/>
      <c r="E8" s="2563"/>
      <c r="F8" s="2563"/>
      <c r="G8" s="2563"/>
      <c r="H8" s="2563"/>
      <c r="I8" s="2376"/>
      <c r="J8" s="2376"/>
      <c r="K8" s="2392">
        <f>S5&amp;".1"</f>
      </c>
      <c r="L8" s="1676"/>
      <c r="P8" s="2531"/>
      <c r="Q8" s="2531"/>
      <c r="R8" s="2607">
        <v>1</v>
      </c>
      <c r="S8" s="2604">
        <f>$K8</f>
      </c>
      <c r="T8" s="2601"/>
      <c r="U8" s="661"/>
      <c r="V8" s="1112"/>
      <c r="W8" s="1622"/>
      <c r="X8" s="2532"/>
      <c r="Y8" s="2402" t="s">
        <v>66</v>
      </c>
      <c r="Z8" s="2532"/>
      <c r="AA8" s="2402" t="s">
        <v>66</v>
      </c>
      <c r="AB8" s="2309"/>
      <c r="AC8" s="2613"/>
      <c r="AD8" s="1112"/>
      <c r="AE8" s="1622"/>
      <c r="AF8" s="2322"/>
      <c r="AG8" s="2309" t="s">
        <v>66</v>
      </c>
      <c r="AH8" s="2322"/>
      <c r="AI8" s="2309" t="s">
        <v>66</v>
      </c>
      <c r="AJ8" s="1714"/>
      <c r="AK8" s="2557" t="s">
        <v>502</v>
      </c>
      <c r="AL8" s="2002">
        <f>STRCHECKDATE(V11:AJ11)</f>
      </c>
      <c r="AM8" s="1990"/>
      <c r="AN8" s="1990" t="str">
        <f>IF(T8="","",T8)</f>
        <v/>
      </c>
      <c r="AO8" s="1990"/>
      <c r="AP8" s="1990"/>
    </row>
    <row customHeight="1" ht="11.25">
      <c r="A9" s="1633"/>
      <c r="B9" s="1633"/>
      <c r="C9" s="1633"/>
      <c r="D9" s="1633"/>
      <c r="E9" s="2563"/>
      <c r="F9" s="2563"/>
      <c r="G9" s="2563"/>
      <c r="H9" s="2563"/>
      <c r="I9" s="2376"/>
      <c r="J9" s="2376"/>
      <c r="K9" s="2392"/>
      <c r="L9" s="1676"/>
      <c r="P9" s="2531"/>
      <c r="Q9" s="2531"/>
      <c r="R9" s="2607"/>
      <c r="S9" s="2605"/>
      <c r="T9" s="2602"/>
      <c r="U9" s="661"/>
      <c r="V9" s="1759"/>
      <c r="W9" s="1763"/>
      <c r="X9" s="2532"/>
      <c r="Y9" s="2402"/>
      <c r="Z9" s="2532"/>
      <c r="AA9" s="2402"/>
      <c r="AB9" s="2309"/>
      <c r="AC9" s="2613"/>
      <c r="AD9" s="1759"/>
      <c r="AE9" s="1862"/>
      <c r="AF9" s="1759"/>
      <c r="AG9" s="1759"/>
      <c r="AH9" s="1759"/>
      <c r="AI9" s="1759"/>
      <c r="AJ9" s="1756"/>
      <c r="AK9" s="2558"/>
      <c r="AM9" s="1990"/>
      <c r="AN9" s="1990"/>
      <c r="AO9" s="1990"/>
      <c r="AP9" s="1990"/>
    </row>
    <row customHeight="1" ht="11.25">
      <c r="A10" s="1633"/>
      <c r="B10" s="1633"/>
      <c r="C10" s="1633"/>
      <c r="D10" s="1633"/>
      <c r="E10" s="2563"/>
      <c r="F10" s="2563"/>
      <c r="G10" s="2563"/>
      <c r="H10" s="2563"/>
      <c r="I10" s="2376"/>
      <c r="J10" s="2376"/>
      <c r="K10" s="2392"/>
      <c r="L10" s="1676"/>
      <c r="P10" s="2531"/>
      <c r="Q10" s="2531"/>
      <c r="R10" s="2607"/>
      <c r="S10" s="2605"/>
      <c r="T10" s="2602"/>
      <c r="U10" s="661"/>
      <c r="V10" s="1759"/>
      <c r="W10" s="1763"/>
      <c r="X10" s="2532"/>
      <c r="Y10" s="2402"/>
      <c r="Z10" s="2532"/>
      <c r="AA10" s="2402"/>
      <c r="AB10" s="2309"/>
      <c r="AC10" s="2613"/>
      <c r="AD10" s="1759"/>
      <c r="AE10" s="1862"/>
      <c r="AF10" s="1759"/>
      <c r="AG10" s="1759"/>
      <c r="AH10" s="1759"/>
      <c r="AI10" s="1759"/>
      <c r="AJ10" s="1756"/>
      <c r="AK10" s="2558"/>
      <c r="AM10" s="1990"/>
      <c r="AN10" s="1990"/>
      <c r="AO10" s="1990"/>
      <c r="AP10" s="1990"/>
    </row>
    <row customHeight="1" ht="11.25">
      <c r="A11" s="1633"/>
      <c r="B11" s="1633"/>
      <c r="C11" s="1633"/>
      <c r="D11" s="1633"/>
      <c r="E11" s="2563"/>
      <c r="F11" s="2563"/>
      <c r="G11" s="2563"/>
      <c r="H11" s="2563"/>
      <c r="I11" s="2376"/>
      <c r="J11" s="2376"/>
      <c r="K11" s="2392"/>
      <c r="L11" s="1676"/>
      <c r="P11" s="2531"/>
      <c r="Q11" s="2531"/>
      <c r="R11" s="2607"/>
      <c r="S11" s="2606"/>
      <c r="T11" s="2603"/>
      <c r="U11" s="661"/>
      <c r="V11" s="1759"/>
      <c r="W11" s="1762" t="str">
        <f>X8&amp;"-"&amp;Z8</f>
        <v>-</v>
      </c>
      <c r="X11" s="2533"/>
      <c r="Y11" s="2402"/>
      <c r="Z11" s="2533"/>
      <c r="AA11" s="2402"/>
      <c r="AB11" s="2338"/>
      <c r="AC11" s="1531" t="s">
        <v>505</v>
      </c>
      <c r="AD11" s="1759"/>
      <c r="AE11" s="1760" t="str">
        <f>AF8&amp;"-"&amp;AH8</f>
        <v>-</v>
      </c>
      <c r="AF11" s="1759"/>
      <c r="AG11" s="1759"/>
      <c r="AH11" s="1759"/>
      <c r="AI11" s="1759"/>
      <c r="AJ11" s="1715"/>
      <c r="AK11" s="2558"/>
      <c r="AM11" s="1990"/>
      <c r="AN11" s="1990" t="str">
        <f>IF(T11="","",T11)</f>
        <v/>
      </c>
      <c r="AO11" s="1990"/>
      <c r="AP11" s="1990"/>
    </row>
    <row customHeight="1" ht="11.25">
      <c r="A12" s="1633"/>
      <c r="B12" s="1633"/>
      <c r="C12" s="1633"/>
      <c r="D12" s="1633"/>
      <c r="E12" s="2563"/>
      <c r="F12" s="2563"/>
      <c r="G12" s="2563"/>
      <c r="H12" s="2563"/>
      <c r="I12" s="2376"/>
      <c r="J12" s="2392"/>
      <c r="K12" s="1633"/>
      <c r="L12" s="1676"/>
      <c r="P12" s="2531"/>
      <c r="Q12" s="2531"/>
      <c r="R12" s="717"/>
      <c r="S12" s="1644"/>
      <c r="T12" s="648" t="s">
        <v>506</v>
      </c>
      <c r="U12" s="961"/>
      <c r="V12" s="961"/>
      <c r="W12" s="961"/>
      <c r="X12" s="961"/>
      <c r="Y12" s="961"/>
      <c r="Z12" s="961"/>
      <c r="AA12" s="961"/>
      <c r="AB12" s="961"/>
      <c r="AC12" s="961"/>
      <c r="AD12" s="961"/>
      <c r="AE12" s="961"/>
      <c r="AF12" s="961"/>
      <c r="AG12" s="961"/>
      <c r="AH12" s="961"/>
      <c r="AI12" s="961"/>
      <c r="AJ12" s="685"/>
      <c r="AK12" s="2559"/>
      <c r="AM12" s="1990"/>
      <c r="AN12" s="1990" t="str">
        <f>IF(T12="","",T12)</f>
        <v>Добавить строку</v>
      </c>
      <c r="AO12" s="1990"/>
      <c r="AP12" s="1990"/>
    </row>
    <row s="32341" customFormat="1" customHeight="1" ht="0">
      <c r="A13" s="1741"/>
      <c r="B13" s="1741"/>
      <c r="C13" s="1741"/>
      <c r="D13" s="1741"/>
      <c r="E13" s="2563"/>
      <c r="F13" s="2563"/>
      <c r="G13" s="2563"/>
      <c r="H13" s="2563"/>
      <c r="I13" s="2392"/>
      <c r="J13" s="1741"/>
      <c r="K13" s="1741"/>
      <c r="L13" s="1747"/>
      <c r="M13" s="1611"/>
      <c r="N13" s="1611"/>
      <c r="O13" s="1611"/>
      <c r="P13" s="2531"/>
      <c r="Q13" s="2321"/>
      <c r="R13" s="717"/>
      <c r="S13" s="1752"/>
      <c r="T13" s="1753"/>
      <c r="U13" s="1754"/>
      <c r="V13" s="1754"/>
      <c r="W13" s="1754"/>
      <c r="X13" s="1754"/>
      <c r="Y13" s="1754"/>
      <c r="Z13" s="1754"/>
      <c r="AA13" s="1754"/>
      <c r="AB13" s="1754"/>
      <c r="AC13" s="1754"/>
      <c r="AD13" s="1754"/>
      <c r="AE13" s="1754"/>
      <c r="AF13" s="1754"/>
      <c r="AG13" s="1754"/>
      <c r="AH13" s="1754"/>
      <c r="AI13" s="1754"/>
      <c r="AJ13" s="1754"/>
      <c r="AK13" s="1755"/>
      <c r="AM13" s="1990"/>
      <c r="AN13" s="1990" t="str">
        <f>IF(T13="","",T13)</f>
        <v/>
      </c>
      <c r="AO13" s="1990"/>
      <c r="AP13" s="1990"/>
    </row>
    <row s="32341" customFormat="1" customHeight="1" ht="0">
      <c r="A14" s="1741"/>
      <c r="B14" s="1741"/>
      <c r="C14" s="1741"/>
      <c r="D14" s="1741"/>
      <c r="E14" s="2563"/>
      <c r="F14" s="2563"/>
      <c r="G14" s="2563"/>
      <c r="H14" s="2562"/>
      <c r="I14" s="1741"/>
      <c r="J14" s="1741"/>
      <c r="K14" s="1741"/>
      <c r="L14" s="1747"/>
      <c r="M14" s="1744"/>
      <c r="N14" s="1744"/>
      <c r="O14" s="712"/>
      <c r="P14" s="741"/>
      <c r="Q14" s="1710"/>
      <c r="R14" s="1767"/>
      <c r="S14" s="1752"/>
      <c r="T14" s="1753"/>
      <c r="U14" s="1754"/>
      <c r="V14" s="1754"/>
      <c r="W14" s="1754"/>
      <c r="X14" s="1754"/>
      <c r="Y14" s="1754"/>
      <c r="Z14" s="1754"/>
      <c r="AA14" s="1754"/>
      <c r="AB14" s="1754"/>
      <c r="AC14" s="1754"/>
      <c r="AD14" s="1754"/>
      <c r="AE14" s="1754"/>
      <c r="AF14" s="1754"/>
      <c r="AG14" s="1754"/>
      <c r="AH14" s="1754"/>
      <c r="AI14" s="1754"/>
      <c r="AJ14" s="1754"/>
      <c r="AK14" s="1755"/>
      <c r="AM14" s="1990"/>
      <c r="AN14" s="1990" t="str">
        <f>IF(T14="","",T14)</f>
        <v/>
      </c>
      <c r="AO14" s="1990"/>
      <c r="AP14" s="1990"/>
    </row>
    <row s="32321" customFormat="1" customHeight="1" ht="0">
      <c r="A15" s="1741"/>
      <c r="B15" s="1741"/>
      <c r="C15" s="1741"/>
      <c r="D15" s="1740"/>
      <c r="E15" s="2563"/>
      <c r="F15" s="2563"/>
      <c r="G15" s="2562"/>
      <c r="H15" s="1740"/>
      <c r="I15" s="1740"/>
      <c r="J15" s="1740"/>
      <c r="K15" s="1740"/>
      <c r="L15" s="1743"/>
      <c r="M15" s="1744"/>
      <c r="N15" s="1744"/>
      <c r="O15" s="712"/>
      <c r="P15" s="1682"/>
      <c r="Q15" s="1683"/>
      <c r="R15" s="1682"/>
      <c r="S15" s="1688"/>
      <c r="T15" s="1691" t="s">
        <v>455</v>
      </c>
      <c r="U15" s="1690"/>
      <c r="V15" s="1690"/>
      <c r="W15" s="1690"/>
      <c r="X15" s="1690"/>
      <c r="Y15" s="1690"/>
      <c r="Z15" s="1690"/>
      <c r="AA15" s="1690"/>
      <c r="AB15" s="1690"/>
      <c r="AC15" s="1690"/>
      <c r="AD15" s="1690"/>
      <c r="AE15" s="1690"/>
      <c r="AF15" s="1690"/>
      <c r="AG15" s="1690"/>
      <c r="AH15" s="1690"/>
      <c r="AI15" s="1690"/>
      <c r="AJ15" s="1690"/>
      <c r="AK15" s="1690"/>
      <c r="AM15" s="1616"/>
      <c r="AN15" s="1616" t="str">
        <f>IF(T15="","",T15)</f>
        <v>Добавить источник для дифференциации</v>
      </c>
      <c r="AO15" s="1616"/>
      <c r="AP15" s="1616"/>
    </row>
    <row s="32321" customFormat="1" customHeight="1" ht="0">
      <c r="A16" s="1741"/>
      <c r="B16" s="1741"/>
      <c r="C16" s="1740"/>
      <c r="D16" s="1740"/>
      <c r="E16" s="2563"/>
      <c r="F16" s="2562"/>
      <c r="G16" s="1740"/>
      <c r="H16" s="1740"/>
      <c r="I16" s="1740"/>
      <c r="J16" s="1740"/>
      <c r="K16" s="1740"/>
      <c r="L16" s="1743"/>
      <c r="M16" s="1745"/>
      <c r="N16" s="1745"/>
      <c r="O16" s="712"/>
      <c r="P16" s="1682"/>
      <c r="Q16" s="1683"/>
      <c r="R16" s="1682"/>
      <c r="S16" s="1688"/>
      <c r="T16" s="1691" t="s">
        <v>262</v>
      </c>
      <c r="U16" s="1690"/>
      <c r="V16" s="1690"/>
      <c r="W16" s="1690"/>
      <c r="X16" s="1690"/>
      <c r="Y16" s="1690"/>
      <c r="Z16" s="1690"/>
      <c r="AA16" s="1690"/>
      <c r="AB16" s="1690"/>
      <c r="AC16" s="1690"/>
      <c r="AD16" s="1690"/>
      <c r="AE16" s="1690"/>
      <c r="AF16" s="1690"/>
      <c r="AG16" s="1690"/>
      <c r="AH16" s="1690"/>
      <c r="AI16" s="1690"/>
      <c r="AJ16" s="1690"/>
      <c r="AK16" s="1690"/>
      <c r="AM16" s="1616"/>
      <c r="AN16" s="1616" t="str">
        <f>IF(T16="","",T16)</f>
        <v>Добавить централизованную систему для дифференциации</v>
      </c>
      <c r="AO16" s="1616"/>
      <c r="AP16" s="1616"/>
    </row>
    <row s="32341" customFormat="1" customHeight="1" ht="0">
      <c r="A17" s="1741"/>
      <c r="B17" s="1741"/>
      <c r="C17" s="1741"/>
      <c r="D17" s="1741"/>
      <c r="E17" s="2562"/>
      <c r="F17" s="1741"/>
      <c r="G17" s="1741"/>
      <c r="H17" s="1741"/>
      <c r="I17" s="1741"/>
      <c r="J17" s="1741"/>
      <c r="K17" s="1741"/>
      <c r="L17" s="1747"/>
      <c r="M17" s="1745"/>
      <c r="N17" s="1745"/>
      <c r="O17" s="712"/>
      <c r="P17" s="741"/>
      <c r="Q17" s="1710"/>
      <c r="R17" s="741"/>
      <c r="S17" s="1688"/>
      <c r="T17" s="1691" t="s">
        <v>270</v>
      </c>
      <c r="U17" s="1690"/>
      <c r="V17" s="1690"/>
      <c r="W17" s="1690"/>
      <c r="X17" s="1690"/>
      <c r="Y17" s="1690"/>
      <c r="Z17" s="1690"/>
      <c r="AA17" s="1690"/>
      <c r="AB17" s="1690"/>
      <c r="AC17" s="1690"/>
      <c r="AD17" s="1690"/>
      <c r="AE17" s="1690"/>
      <c r="AF17" s="1690"/>
      <c r="AG17" s="1690"/>
      <c r="AH17" s="1690"/>
      <c r="AI17" s="1690"/>
      <c r="AJ17" s="1690"/>
      <c r="AK17" s="1690"/>
      <c r="AM17" s="1990"/>
      <c r="AN17" s="1990" t="str">
        <f>IF(T17="","",T17)</f>
        <v>Добавить территорию для дифференциации</v>
      </c>
      <c r="AO17" s="1990"/>
      <c r="AP17" s="1990"/>
    </row>
    <row r="19" customHeight="1" ht="14.25">
      <c r="AC19" s="1868"/>
      <c r="AD19" s="1769"/>
      <c r="AE19" s="1770"/>
      <c r="AF19" s="2102"/>
      <c r="AG19" s="2333" t="s">
        <v>66</v>
      </c>
      <c r="AH19" s="2102"/>
      <c r="AI19" s="2333" t="s">
        <v>66</v>
      </c>
    </row>
    <row customHeight="1" ht="14.25">
      <c r="AL20" s="2007"/>
      <c r="AM20" s="2007"/>
      <c r="AN20" s="2007"/>
      <c r="AO20" s="2007"/>
      <c r="AP20" s="2007"/>
    </row>
    <row customHeight="1" ht="14.25">
      <c r="O21" s="1711" t="s">
        <v>456</v>
      </c>
      <c r="X21" s="1711"/>
      <c r="Z21" s="1711"/>
      <c r="AF21" s="1711"/>
      <c r="AH21" s="1711"/>
      <c r="AL21" s="2007"/>
      <c r="AM21" s="2007"/>
      <c r="AN21" s="2007"/>
      <c r="AO21" s="2007"/>
      <c r="AP21" s="2007"/>
    </row>
    <row customHeight="1" ht="14.25">
      <c r="AL22" s="2007"/>
      <c r="AM22" s="2007"/>
      <c r="AN22" s="2007"/>
      <c r="AO22" s="2007"/>
      <c r="AP22" s="2007"/>
    </row>
    <row s="32444" customFormat="1" customHeight="1" ht="14.25">
      <c r="A23" s="2339"/>
      <c r="B23" s="2339"/>
      <c r="C23" s="2339"/>
      <c r="D23" s="2339"/>
      <c r="E23" s="2339"/>
      <c r="F23" s="2339"/>
      <c r="G23" s="2339"/>
      <c r="H23" s="2339"/>
      <c r="I23" s="2339"/>
      <c r="J23" s="2339"/>
      <c r="K23" s="2339"/>
      <c r="L23" s="2339"/>
      <c r="M23" s="2340"/>
      <c r="N23" s="2340"/>
      <c r="O23" s="2341" t="s">
        <v>457</v>
      </c>
      <c r="P23" s="1874"/>
      <c r="Q23" s="1876"/>
      <c r="R23" s="1876"/>
      <c r="Y23" s="1873" t="s">
        <v>459</v>
      </c>
      <c r="AA23" s="1873" t="s">
        <v>460</v>
      </c>
      <c r="AC23" s="1873" t="s">
        <v>508</v>
      </c>
      <c r="AG23" s="1873" t="s">
        <v>459</v>
      </c>
      <c r="AI23" s="1873" t="s">
        <v>460</v>
      </c>
      <c r="AL23" s="1877"/>
      <c r="AM23" s="1877"/>
      <c r="AN23" s="1877"/>
      <c r="AO23" s="1877"/>
      <c r="AP23" s="1877"/>
    </row>
    <row customHeight="1" ht="14.25">
      <c r="O24" s="1676"/>
      <c r="AL24" s="2007"/>
      <c r="AM24" s="2007"/>
      <c r="AN24" s="2007"/>
      <c r="AO24" s="2007"/>
      <c r="AP24" s="2007"/>
    </row>
    <row customHeight="1" ht="14.25">
      <c r="O25" s="1676"/>
      <c r="AL25" s="2007"/>
      <c r="AM25" s="2007"/>
      <c r="AN25" s="2007"/>
      <c r="AO25" s="2007"/>
      <c r="AP25" s="2007"/>
    </row>
    <row customHeight="1" ht="14.25">
      <c r="Q26" s="652"/>
      <c r="R26" s="737"/>
      <c r="S26" s="1641"/>
      <c r="T26" s="818"/>
      <c r="U26" s="818"/>
      <c r="V26" s="2001"/>
      <c r="W26" s="2001"/>
      <c r="X26" s="2001"/>
      <c r="Y26" s="2001"/>
      <c r="Z26" s="2001"/>
      <c r="AA26" s="2001"/>
      <c r="AB26" s="2001"/>
      <c r="AC26" s="2001"/>
      <c r="AD26" s="2001"/>
      <c r="AE26" s="2001"/>
      <c r="AF26" s="2001"/>
      <c r="AG26" s="2001"/>
      <c r="AH26" s="2001"/>
      <c r="AI26" s="2001"/>
    </row>
    <row customHeight="1" ht="38.25">
      <c r="Q27" s="652"/>
      <c r="R27" s="737"/>
      <c r="S27" s="256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560"/>
      <c r="U27" s="2560"/>
      <c r="V27" s="2560"/>
      <c r="W27" s="2560"/>
      <c r="X27" s="2560"/>
      <c r="Y27" s="2560"/>
      <c r="Z27" s="2560"/>
      <c r="AA27" s="2560"/>
      <c r="AB27" s="2560"/>
      <c r="AC27" s="2560"/>
      <c r="AD27" s="2560"/>
      <c r="AE27" s="2560"/>
      <c r="AF27" s="2560"/>
      <c r="AG27" s="2560"/>
      <c r="AH27" s="2560"/>
      <c r="AI27" s="1608"/>
    </row>
    <row customHeight="1" ht="14.25">
      <c r="Q28" s="652"/>
      <c r="R28" s="737"/>
      <c r="S28" s="2561" t="str">
        <f>IF(org=0,"Не определено",org)</f>
        <v>АО "Мурманэнергосбыт"</v>
      </c>
      <c r="T28" s="2561"/>
      <c r="U28" s="2561"/>
      <c r="V28" s="2561"/>
      <c r="W28" s="2561"/>
      <c r="X28" s="2561"/>
      <c r="Y28" s="2561"/>
      <c r="Z28" s="2561"/>
      <c r="AA28" s="2561"/>
      <c r="AB28" s="2561"/>
      <c r="AC28" s="2561"/>
      <c r="AD28" s="2561"/>
      <c r="AE28" s="2561"/>
      <c r="AF28" s="2561"/>
      <c r="AG28" s="2561"/>
      <c r="AH28" s="2561"/>
      <c r="AI28" s="1608"/>
    </row>
    <row customHeight="1" ht="14.25" hidden="1">
      <c r="Q29" s="652"/>
      <c r="R29" s="737"/>
      <c r="S29" s="1641"/>
      <c r="T29" s="818"/>
      <c r="U29" s="818"/>
      <c r="V29" s="683"/>
      <c r="W29" s="683"/>
      <c r="X29" s="683"/>
      <c r="Y29" s="683"/>
      <c r="Z29" s="683"/>
      <c r="AA29" s="683"/>
      <c r="AB29" s="683"/>
      <c r="AC29" s="683"/>
      <c r="AD29" s="683"/>
      <c r="AE29" s="683"/>
      <c r="AF29" s="683"/>
      <c r="AG29" s="683"/>
      <c r="AH29" s="683"/>
      <c r="AI29" s="683"/>
      <c r="AJ29" s="2001"/>
    </row>
    <row s="32230" customFormat="1" customHeight="1" ht="25.5" hidden="1">
      <c r="A30" s="1613"/>
      <c r="B30" s="1613"/>
      <c r="C30" s="1613"/>
      <c r="D30" s="1613"/>
      <c r="E30" s="1613"/>
      <c r="F30" s="1613"/>
      <c r="G30" s="1613"/>
      <c r="H30" s="1613"/>
      <c r="I30" s="1613"/>
      <c r="J30" s="1613"/>
      <c r="K30" s="1613"/>
      <c r="L30" s="1746"/>
      <c r="M30" s="1613"/>
      <c r="N30" s="1613"/>
      <c r="O30" s="1613"/>
      <c r="P30" s="1734"/>
      <c r="Q30" s="1734"/>
      <c r="S30" s="2518" t="s">
        <v>38</v>
      </c>
      <c r="T30" s="2518"/>
      <c r="U30" s="1738"/>
      <c r="V30" s="2520" t="str">
        <f>IF(TITLE_NAME_OR_PR_CHANGE="",IF(TITLE_NAME_OR_PR="","",TITLE_NAME_OR_PR),TITLE_NAME_OR_PR_CHANGE)</f>
        <v>Комитет по тарифному регулированию Мурманской области</v>
      </c>
      <c r="W30" s="2520"/>
      <c r="X30" s="2520"/>
      <c r="Y30" s="2520"/>
      <c r="Z30" s="2520"/>
      <c r="AA30" s="2001"/>
      <c r="AB30" s="2001"/>
      <c r="AC30" s="2520"/>
      <c r="AD30" s="2520"/>
      <c r="AE30" s="2520"/>
      <c r="AF30" s="2520"/>
      <c r="AG30" s="2520"/>
      <c r="AH30" s="2520"/>
      <c r="AI30" s="2001"/>
      <c r="AJ30" s="2001"/>
      <c r="AK30" s="641"/>
      <c r="AL30" s="729"/>
      <c r="AM30" s="729"/>
      <c r="AN30" s="729"/>
      <c r="AO30" s="729"/>
      <c r="AP30" s="729"/>
    </row>
    <row s="32230" customFormat="1" customHeight="1" ht="18.75" hidden="1">
      <c r="A31" s="1613"/>
      <c r="B31" s="1613"/>
      <c r="C31" s="1613"/>
      <c r="D31" s="1613"/>
      <c r="E31" s="1613"/>
      <c r="F31" s="1613"/>
      <c r="G31" s="1613"/>
      <c r="H31" s="1613"/>
      <c r="I31" s="1613"/>
      <c r="J31" s="1613"/>
      <c r="K31" s="1613"/>
      <c r="L31" s="1746"/>
      <c r="M31" s="1613"/>
      <c r="N31" s="1613"/>
      <c r="O31" s="1613"/>
      <c r="P31" s="1734"/>
      <c r="Q31" s="1734"/>
      <c r="S31" s="2518" t="s">
        <v>462</v>
      </c>
      <c r="T31" s="2518"/>
      <c r="U31" s="1738"/>
      <c r="V31" s="2519" t="str">
        <f>IF(TITLE_DATE_PR_CHANGE="",IF(TITLE_DATE_PR="","",TITLE_DATE_PR),TITLE_DATE_PR_CHANGE)</f>
        <v>45280</v>
      </c>
      <c r="W31" s="2519"/>
      <c r="X31" s="2519"/>
      <c r="Y31" s="2519"/>
      <c r="Z31" s="2519"/>
      <c r="AA31" s="2001"/>
      <c r="AB31" s="2001"/>
      <c r="AC31" s="2519"/>
      <c r="AD31" s="2519"/>
      <c r="AE31" s="2519"/>
      <c r="AF31" s="2519"/>
      <c r="AG31" s="2519"/>
      <c r="AH31" s="2519"/>
      <c r="AI31" s="2001"/>
      <c r="AJ31" s="2001"/>
      <c r="AK31" s="641"/>
      <c r="AL31" s="729"/>
      <c r="AM31" s="729"/>
      <c r="AN31" s="729"/>
      <c r="AO31" s="729"/>
      <c r="AP31" s="729"/>
    </row>
    <row s="32230" customFormat="1" customHeight="1" ht="18.75" hidden="1">
      <c r="A32" s="1613"/>
      <c r="B32" s="1613"/>
      <c r="C32" s="1613"/>
      <c r="D32" s="1613"/>
      <c r="E32" s="1613"/>
      <c r="F32" s="1613"/>
      <c r="G32" s="1613"/>
      <c r="H32" s="1613"/>
      <c r="I32" s="1613"/>
      <c r="J32" s="1613"/>
      <c r="K32" s="1613"/>
      <c r="L32" s="1746"/>
      <c r="M32" s="1613"/>
      <c r="N32" s="1613"/>
      <c r="O32" s="1613"/>
      <c r="P32" s="1734"/>
      <c r="Q32" s="1734"/>
      <c r="S32" s="2518" t="s">
        <v>463</v>
      </c>
      <c r="T32" s="2518"/>
      <c r="U32" s="1738"/>
      <c r="V32" s="2520" t="str">
        <f>IF(TITLE_NUMBER_PR_CHANGE="",IF(TITLE_NUMBER_PR="","",TITLE_NUMBER_PR),TITLE_NUMBER_PR_CHANGE)</f>
        <v>51/16</v>
      </c>
      <c r="W32" s="2520"/>
      <c r="X32" s="2520"/>
      <c r="Y32" s="2520"/>
      <c r="Z32" s="2520"/>
      <c r="AA32" s="2001"/>
      <c r="AB32" s="2001"/>
      <c r="AC32" s="2520"/>
      <c r="AD32" s="2520"/>
      <c r="AE32" s="2520"/>
      <c r="AF32" s="2520"/>
      <c r="AG32" s="2520"/>
      <c r="AH32" s="2520"/>
      <c r="AI32" s="2001"/>
      <c r="AJ32" s="2001"/>
      <c r="AK32" s="641"/>
      <c r="AL32" s="729"/>
      <c r="AM32" s="729"/>
      <c r="AN32" s="729"/>
      <c r="AO32" s="729"/>
      <c r="AP32" s="729"/>
    </row>
    <row s="32230" customFormat="1" customHeight="1" ht="18.75" hidden="1">
      <c r="A33" s="1613"/>
      <c r="B33" s="1613"/>
      <c r="C33" s="1613"/>
      <c r="D33" s="1613"/>
      <c r="E33" s="1613"/>
      <c r="F33" s="1613"/>
      <c r="G33" s="1613"/>
      <c r="H33" s="1613"/>
      <c r="I33" s="1613"/>
      <c r="J33" s="1613"/>
      <c r="K33" s="1613"/>
      <c r="L33" s="1746"/>
      <c r="M33" s="1613"/>
      <c r="N33" s="1613"/>
      <c r="O33" s="1613"/>
      <c r="P33" s="1734"/>
      <c r="Q33" s="1734"/>
      <c r="S33" s="2518" t="s">
        <v>40</v>
      </c>
      <c r="T33" s="2518"/>
      <c r="U33" s="1738"/>
      <c r="V33" s="2520" t="str">
        <f>IF(TITLE_IST_PUB_CHANGE="",IF(TITLE_IST_PUB="","",TITLE_IST_PUB),TITLE_IST_PUB_CHANGE)</f>
        <v>https://npa.gov-murman.ru/bitrix/components/b1team/govmurman.element.file/download.php?ID=508455&amp;FID=750728</v>
      </c>
      <c r="W33" s="2520"/>
      <c r="X33" s="2520"/>
      <c r="Y33" s="2520"/>
      <c r="Z33" s="2520"/>
      <c r="AA33" s="2001"/>
      <c r="AB33" s="2001"/>
      <c r="AC33" s="2520"/>
      <c r="AD33" s="2520"/>
      <c r="AE33" s="2520"/>
      <c r="AF33" s="2520"/>
      <c r="AG33" s="2520"/>
      <c r="AH33" s="2520"/>
      <c r="AI33" s="2001"/>
      <c r="AJ33" s="2001"/>
      <c r="AK33" s="641"/>
      <c r="AL33" s="729"/>
      <c r="AM33" s="729"/>
      <c r="AN33" s="729"/>
      <c r="AO33" s="729"/>
      <c r="AP33" s="729"/>
    </row>
    <row customHeight="1" ht="14.25" hidden="1">
      <c r="Q34" s="652"/>
      <c r="R34" s="737"/>
      <c r="S34" s="1641"/>
      <c r="T34" s="818"/>
      <c r="U34" s="818"/>
      <c r="V34" s="683"/>
      <c r="W34" s="683"/>
      <c r="X34" s="683"/>
      <c r="Y34" s="683"/>
      <c r="Z34" s="683"/>
      <c r="AA34" s="683"/>
      <c r="AB34" s="683"/>
      <c r="AC34" s="683"/>
      <c r="AD34" s="683"/>
      <c r="AE34" s="683"/>
      <c r="AF34" s="683"/>
      <c r="AG34" s="683"/>
      <c r="AH34" s="683"/>
      <c r="AI34" s="683"/>
      <c r="AJ34" s="2001"/>
    </row>
    <row s="32230" customFormat="1" customHeight="1" ht="18.75" hidden="1">
      <c r="A35" s="1613"/>
      <c r="B35" s="1613"/>
      <c r="C35" s="1613"/>
      <c r="D35" s="1613"/>
      <c r="E35" s="1613"/>
      <c r="F35" s="1613"/>
      <c r="G35" s="1613"/>
      <c r="H35" s="1613"/>
      <c r="I35" s="1613"/>
      <c r="J35" s="1613"/>
      <c r="K35" s="1613"/>
      <c r="L35" s="1746"/>
      <c r="M35" s="1613"/>
      <c r="N35" s="1613"/>
      <c r="O35" s="1613"/>
      <c r="P35" s="1734"/>
      <c r="Q35" s="1734"/>
      <c r="S35" s="2518" t="s">
        <v>462</v>
      </c>
      <c r="T35" s="2518"/>
      <c r="U35" s="1738"/>
      <c r="V35" s="2519" t="str">
        <f>IF(TITLE_DATE_PR_CHANGE="",IF(TITLE_DATE_PR="","",TITLE_DATE_PR),TITLE_DATE_PR_CHANGE)</f>
        <v>45280</v>
      </c>
      <c r="W35" s="2519"/>
      <c r="X35" s="2519"/>
      <c r="Y35" s="2519"/>
      <c r="Z35" s="2519"/>
      <c r="AA35" s="2001"/>
      <c r="AB35" s="2001"/>
      <c r="AC35" s="2519"/>
      <c r="AD35" s="2519"/>
      <c r="AE35" s="2519"/>
      <c r="AF35" s="2519"/>
      <c r="AG35" s="2519"/>
      <c r="AH35" s="2519"/>
      <c r="AI35" s="2001"/>
      <c r="AJ35" s="2001"/>
      <c r="AK35" s="641"/>
      <c r="AL35" s="729"/>
      <c r="AM35" s="729"/>
      <c r="AN35" s="729"/>
      <c r="AO35" s="729"/>
      <c r="AP35" s="729"/>
    </row>
    <row s="32230" customFormat="1" customHeight="1" ht="18" hidden="1">
      <c r="A36" s="1613"/>
      <c r="B36" s="1613"/>
      <c r="C36" s="1613"/>
      <c r="D36" s="1613"/>
      <c r="E36" s="1613"/>
      <c r="F36" s="1613"/>
      <c r="G36" s="1613"/>
      <c r="H36" s="1613"/>
      <c r="I36" s="1613"/>
      <c r="J36" s="1613"/>
      <c r="K36" s="1613"/>
      <c r="L36" s="1746"/>
      <c r="M36" s="1613"/>
      <c r="N36" s="1613"/>
      <c r="O36" s="1613"/>
      <c r="P36" s="1734"/>
      <c r="Q36" s="1734"/>
      <c r="S36" s="2518" t="s">
        <v>463</v>
      </c>
      <c r="T36" s="2518"/>
      <c r="U36" s="1738"/>
      <c r="V36" s="2520" t="str">
        <f>IF(TITLE_NUMBER_PR_CHANGE="",IF(TITLE_NUMBER_PR="","",TITLE_NUMBER_PR),TITLE_NUMBER_PR_CHANGE)</f>
        <v>51/16</v>
      </c>
      <c r="W36" s="2520"/>
      <c r="X36" s="2520"/>
      <c r="Y36" s="2520"/>
      <c r="Z36" s="2520"/>
      <c r="AA36" s="2001"/>
      <c r="AB36" s="2001"/>
      <c r="AC36" s="2520"/>
      <c r="AD36" s="2520"/>
      <c r="AE36" s="2520"/>
      <c r="AF36" s="2520"/>
      <c r="AG36" s="2520"/>
      <c r="AH36" s="2520"/>
      <c r="AI36" s="2001"/>
      <c r="AJ36" s="2001"/>
      <c r="AK36" s="641"/>
      <c r="AL36" s="729"/>
      <c r="AM36" s="729"/>
      <c r="AN36" s="729"/>
      <c r="AO36" s="729"/>
      <c r="AP36" s="729"/>
    </row>
    <row s="32230" customFormat="1" customHeight="1" ht="0.75">
      <c r="A37" s="1613"/>
      <c r="B37" s="1613"/>
      <c r="C37" s="1613"/>
      <c r="D37" s="1613"/>
      <c r="E37" s="1613"/>
      <c r="F37" s="1613"/>
      <c r="G37" s="1613"/>
      <c r="H37" s="1613"/>
      <c r="I37" s="1613"/>
      <c r="J37" s="1613"/>
      <c r="K37" s="1613"/>
      <c r="L37" s="1746"/>
      <c r="M37" s="1613"/>
      <c r="N37" s="1613"/>
      <c r="O37" s="1613"/>
      <c r="P37" s="1734"/>
      <c r="Q37" s="1734"/>
      <c r="S37" s="2001"/>
      <c r="T37" s="2001"/>
      <c r="U37" s="2337"/>
      <c r="V37" s="2001"/>
      <c r="W37" s="2001"/>
      <c r="X37" s="2001"/>
      <c r="Y37" s="2001"/>
      <c r="Z37" s="2001"/>
      <c r="AA37" s="2008" t="s">
        <v>466</v>
      </c>
      <c r="AB37" s="2008"/>
      <c r="AC37" s="2001"/>
      <c r="AD37" s="2001"/>
      <c r="AE37" s="2001"/>
      <c r="AF37" s="2001"/>
      <c r="AG37" s="2001"/>
      <c r="AH37" s="2001"/>
      <c r="AI37" s="2008" t="s">
        <v>466</v>
      </c>
      <c r="AL37" s="729"/>
      <c r="AM37" s="729"/>
      <c r="AN37" s="729"/>
      <c r="AO37" s="729"/>
      <c r="AP37" s="729"/>
    </row>
    <row customHeight="1" ht="14.25">
      <c r="Q38" s="652"/>
      <c r="R38" s="737"/>
      <c r="S38" s="1641"/>
      <c r="T38" s="818"/>
      <c r="U38" s="1609"/>
      <c r="V38" s="2544"/>
      <c r="W38" s="2544"/>
      <c r="X38" s="2544"/>
      <c r="Y38" s="2544"/>
      <c r="Z38" s="2544"/>
      <c r="AA38" s="2544"/>
      <c r="AB38" s="2324"/>
      <c r="AC38" s="2544"/>
      <c r="AD38" s="2544"/>
      <c r="AE38" s="2544"/>
      <c r="AF38" s="2544"/>
      <c r="AG38" s="2544"/>
      <c r="AH38" s="2544"/>
      <c r="AI38" s="2544"/>
    </row>
    <row customHeight="1" ht="14.25">
      <c r="Q39" s="652"/>
      <c r="R39" s="737"/>
      <c r="S39" s="2392" t="s">
        <v>341</v>
      </c>
      <c r="T39" s="2392"/>
      <c r="U39" s="2392"/>
      <c r="V39" s="2392"/>
      <c r="W39" s="2392"/>
      <c r="X39" s="2392"/>
      <c r="Y39" s="2392"/>
      <c r="Z39" s="2392"/>
      <c r="AA39" s="2449"/>
      <c r="AB39" s="2449"/>
      <c r="AC39" s="2449"/>
      <c r="AD39" s="2392"/>
      <c r="AE39" s="2392"/>
      <c r="AF39" s="2392"/>
      <c r="AG39" s="2392"/>
      <c r="AH39" s="2392"/>
      <c r="AI39" s="2392"/>
      <c r="AJ39" s="2392"/>
      <c r="AK39" s="2392" t="s">
        <v>342</v>
      </c>
    </row>
    <row customHeight="1" ht="14.25">
      <c r="Q40" s="652"/>
      <c r="R40" s="737"/>
      <c r="S40" s="2545" t="s">
        <v>87</v>
      </c>
      <c r="T40" s="2482" t="s">
        <v>538</v>
      </c>
      <c r="U40" s="698"/>
      <c r="V40" s="2547"/>
      <c r="W40" s="2547"/>
      <c r="X40" s="2547"/>
      <c r="Y40" s="2547"/>
      <c r="Z40" s="2547"/>
      <c r="AA40" s="2482" t="s">
        <v>469</v>
      </c>
      <c r="AB40" s="2481" t="s">
        <v>539</v>
      </c>
      <c r="AC40" s="2481" t="s">
        <v>512</v>
      </c>
      <c r="AD40" s="2568" t="s">
        <v>468</v>
      </c>
      <c r="AE40" s="2568"/>
      <c r="AF40" s="2547"/>
      <c r="AG40" s="2547"/>
      <c r="AH40" s="2548"/>
      <c r="AI40" s="2549" t="s">
        <v>469</v>
      </c>
      <c r="AJ40" s="2552" t="s">
        <v>471</v>
      </c>
      <c r="AK40" s="2392"/>
    </row>
    <row customHeight="1" ht="33.75">
      <c r="Q41" s="652"/>
      <c r="R41" s="737"/>
      <c r="S41" s="2545"/>
      <c r="T41" s="2482"/>
      <c r="U41" s="1393"/>
      <c r="V41" s="2450" t="s">
        <v>515</v>
      </c>
      <c r="W41" s="2451"/>
      <c r="X41" s="2566" t="s">
        <v>475</v>
      </c>
      <c r="Y41" s="2584"/>
      <c r="Z41" s="2584"/>
      <c r="AA41" s="2482"/>
      <c r="AB41" s="2481"/>
      <c r="AC41" s="2481"/>
      <c r="AD41" s="2378" t="s">
        <v>516</v>
      </c>
      <c r="AE41" s="2392"/>
      <c r="AF41" s="2584" t="s">
        <v>475</v>
      </c>
      <c r="AG41" s="2584"/>
      <c r="AH41" s="2585"/>
      <c r="AI41" s="2550"/>
      <c r="AJ41" s="2553"/>
      <c r="AK41" s="2392"/>
    </row>
    <row customHeight="1" ht="14.25">
      <c r="Q42" s="652"/>
      <c r="R42" s="737"/>
      <c r="S42" s="2545"/>
      <c r="T42" s="2482"/>
      <c r="U42" s="1393"/>
      <c r="V42" s="2458"/>
      <c r="W42" s="2459"/>
      <c r="X42" s="2567"/>
      <c r="Y42" s="2586"/>
      <c r="Z42" s="2586"/>
      <c r="AA42" s="2482"/>
      <c r="AB42" s="2481"/>
      <c r="AC42" s="2481"/>
      <c r="AD42" s="2621"/>
      <c r="AE42" s="2612"/>
      <c r="AF42" s="2586"/>
      <c r="AG42" s="2586"/>
      <c r="AH42" s="2587"/>
      <c r="AI42" s="2550"/>
      <c r="AJ42" s="2553"/>
      <c r="AK42" s="2392"/>
    </row>
    <row customHeight="1" ht="14.25">
      <c r="A43" s="1632"/>
      <c r="B43" s="1632" t="s">
        <v>143</v>
      </c>
      <c r="C43" s="1632" t="s">
        <v>144</v>
      </c>
      <c r="D43" s="1632" t="s">
        <v>145</v>
      </c>
      <c r="E43" s="1676" t="s">
        <v>476</v>
      </c>
      <c r="F43" s="1676" t="s">
        <v>477</v>
      </c>
      <c r="G43" s="1676" t="s">
        <v>478</v>
      </c>
      <c r="H43" s="1676" t="s">
        <v>479</v>
      </c>
      <c r="I43" s="1676" t="s">
        <v>480</v>
      </c>
      <c r="J43" s="1676" t="s">
        <v>481</v>
      </c>
      <c r="K43" s="1676" t="s">
        <v>482</v>
      </c>
      <c r="L43" s="1676" t="s">
        <v>457</v>
      </c>
      <c r="Q43" s="652"/>
      <c r="R43" s="737"/>
      <c r="S43" s="2545"/>
      <c r="T43" s="2482"/>
      <c r="U43" s="663"/>
      <c r="V43" s="2317" t="s">
        <v>517</v>
      </c>
      <c r="W43" s="2317" t="s">
        <v>518</v>
      </c>
      <c r="X43" s="2305" t="s">
        <v>485</v>
      </c>
      <c r="Y43" s="2541" t="s">
        <v>486</v>
      </c>
      <c r="Z43" s="2579"/>
      <c r="AA43" s="2482"/>
      <c r="AB43" s="2481"/>
      <c r="AC43" s="2481"/>
      <c r="AD43" s="2335" t="s">
        <v>517</v>
      </c>
      <c r="AE43" s="2326" t="s">
        <v>518</v>
      </c>
      <c r="AF43" s="2305" t="s">
        <v>485</v>
      </c>
      <c r="AG43" s="2541" t="s">
        <v>486</v>
      </c>
      <c r="AH43" s="2542"/>
      <c r="AI43" s="2551"/>
      <c r="AJ43" s="2554"/>
      <c r="AK43" s="2392"/>
    </row>
    <row s="32338" customFormat="1" customHeight="1" ht="11.25" hidden="1">
      <c r="A44" s="1632"/>
      <c r="B44" s="1632"/>
      <c r="C44" s="1632"/>
      <c r="D44" s="1632"/>
      <c r="E44" s="1632"/>
      <c r="F44" s="1632"/>
      <c r="G44" s="1632"/>
      <c r="H44" s="1632"/>
      <c r="I44" s="1632"/>
      <c r="J44" s="1632"/>
      <c r="K44" s="1632"/>
      <c r="L44" s="1676"/>
      <c r="M44" s="2332"/>
      <c r="N44" s="2332"/>
      <c r="O44" s="2332"/>
      <c r="P44" s="871"/>
      <c r="Q44" s="1619"/>
      <c r="R44" s="1619">
        <v>1</v>
      </c>
      <c r="S44" s="1643" t="s">
        <v>118</v>
      </c>
      <c r="T44" s="1620" t="s">
        <v>102</v>
      </c>
      <c r="U44" s="1610" t="str">
        <f>OFFSET(U44,0,-1)</f>
        <v>2</v>
      </c>
      <c r="V44" s="2323">
        <f>OFFSET(V44,0,-1)+1</f>
        <v>3</v>
      </c>
      <c r="W44" s="2323">
        <f>OFFSET(W44,0,-1)+1</f>
        <v>4</v>
      </c>
      <c r="X44" s="2323">
        <f>OFFSET(X44,0,-1)+1</f>
        <v>5</v>
      </c>
      <c r="Y44" s="2543">
        <f>OFFSET(Y44,0,-1)+1</f>
        <v>6</v>
      </c>
      <c r="Z44" s="2543"/>
      <c r="AA44" s="1707">
        <f>OFFSET(AA44,0,-2)+1</f>
        <v>7</v>
      </c>
      <c r="AB44" s="1707"/>
      <c r="AC44" s="1707"/>
      <c r="AD44" s="2323">
        <f>OFFSET(AD44,0,-1)+1</f>
        <v>1</v>
      </c>
      <c r="AE44" s="2323">
        <f>OFFSET(AE44,0,-1)+1</f>
        <v>2</v>
      </c>
      <c r="AF44" s="2323">
        <f>OFFSET(AF44,0,-1)+1</f>
        <v>3</v>
      </c>
      <c r="AG44" s="2543">
        <f>OFFSET(AG44,0,-1)+1</f>
        <v>4</v>
      </c>
      <c r="AH44" s="2543"/>
      <c r="AI44" s="2323">
        <f>OFFSET(AI44,0,-2)+1</f>
        <v>5</v>
      </c>
      <c r="AJ44" s="1610">
        <f>OFFSET(AJ44,0,-1)</f>
        <v>5</v>
      </c>
      <c r="AK44" s="2323">
        <f>OFFSET(AK44,0,-1)+1</f>
        <v>6</v>
      </c>
      <c r="AL44" s="2002"/>
      <c r="AM44" s="2002"/>
      <c r="AN44" s="2002"/>
      <c r="AO44" s="2002"/>
      <c r="AP44" s="2002"/>
    </row>
    <row customHeight="1" ht="102">
      <c r="A45" s="1633" t="s">
        <v>210</v>
      </c>
      <c r="B45" s="1633"/>
      <c r="C45" s="1633"/>
      <c r="D45" s="1633"/>
      <c r="E45" s="2562">
        <v>1</v>
      </c>
      <c r="F45" s="1633"/>
      <c r="G45" s="1633"/>
      <c r="H45" s="1633"/>
      <c r="I45" s="1633"/>
      <c r="J45" s="1633"/>
      <c r="K45" s="1633"/>
      <c r="L45" s="1676"/>
      <c r="M45" s="1976"/>
      <c r="N45" s="1976"/>
      <c r="O45" s="1976"/>
      <c r="P45" s="1775"/>
      <c r="Q45" s="1234"/>
      <c r="R45" s="716"/>
      <c r="S45" s="2325">
        <f>INDEX(PT_DIFFERENTIATION_NUM_NTAR,MATCH(A45,PT_DIFFERENTIATION_NTAR_ID,0))</f>
        <v>0</v>
      </c>
      <c r="T45" s="1891" t="s">
        <v>131</v>
      </c>
      <c r="U45" s="661"/>
      <c r="V45" s="2522"/>
      <c r="W45" s="2522"/>
      <c r="X45" s="2522"/>
      <c r="Y45" s="2522"/>
      <c r="Z45" s="2522"/>
      <c r="AA45" s="2523"/>
      <c r="AB45" s="2319"/>
      <c r="AC45" s="2522"/>
      <c r="AD45" s="2522"/>
      <c r="AE45" s="2522"/>
      <c r="AF45" s="2522"/>
      <c r="AG45" s="2522"/>
      <c r="AH45" s="2522"/>
      <c r="AI45" s="2522"/>
      <c r="AJ45" s="2523"/>
      <c r="AK45" s="16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5" s="1990"/>
      <c r="AN45" s="1990" t="str">
        <f>IF(T45="","",T45)</f>
        <v>Наименование тарифа</v>
      </c>
      <c r="AO45" s="1990"/>
      <c r="AP45" s="1990"/>
    </row>
    <row customHeight="1" ht="21">
      <c r="A46" s="1633" t="s">
        <v>210</v>
      </c>
      <c r="B46" s="1633" t="s">
        <v>211</v>
      </c>
      <c r="C46" s="1633"/>
      <c r="D46" s="1633"/>
      <c r="E46" s="2563"/>
      <c r="F46" s="2562">
        <v>1</v>
      </c>
      <c r="G46" s="1633"/>
      <c r="H46" s="1633"/>
      <c r="I46" s="1633"/>
      <c r="J46" s="1633"/>
      <c r="K46" s="1633"/>
      <c r="L46" s="1676"/>
      <c r="M46" s="1976"/>
      <c r="N46" s="1976"/>
      <c r="O46" s="1976"/>
      <c r="P46" s="2336"/>
      <c r="Q46" s="1777"/>
      <c r="R46" s="714"/>
      <c r="S46" s="2325" t="str">
        <f>INDEX(PT_DIFFERENTIATION_NUM_TER,MATCH(B46,PT_DIFFERENTIATION_TER_ID,0))</f>
        <v>.</v>
      </c>
      <c r="T46" s="1888" t="s">
        <v>438</v>
      </c>
      <c r="U46" s="661"/>
      <c r="V46" s="2522"/>
      <c r="W46" s="2522"/>
      <c r="X46" s="2522"/>
      <c r="Y46" s="2522"/>
      <c r="Z46" s="2522"/>
      <c r="AA46" s="2523"/>
      <c r="AB46" s="2319"/>
      <c r="AC46" s="2522"/>
      <c r="AD46" s="2522"/>
      <c r="AE46" s="2522"/>
      <c r="AF46" s="2522"/>
      <c r="AG46" s="2522"/>
      <c r="AH46" s="2522"/>
      <c r="AI46" s="2522"/>
      <c r="AJ46" s="2523"/>
      <c r="AK46" s="1623" t="s">
        <v>439</v>
      </c>
      <c r="AM46" s="1990"/>
      <c r="AN46" s="1990" t="str">
        <f>IF(T46="","",T46)</f>
        <v>Территория действия тарифа</v>
      </c>
      <c r="AO46" s="1990"/>
      <c r="AP46" s="1990"/>
    </row>
    <row customHeight="1" ht="23.25">
      <c r="A47" s="1633" t="s">
        <v>210</v>
      </c>
      <c r="B47" s="1633" t="s">
        <v>211</v>
      </c>
      <c r="C47" s="1633" t="s">
        <v>212</v>
      </c>
      <c r="D47" s="1633"/>
      <c r="E47" s="2563"/>
      <c r="F47" s="2563"/>
      <c r="G47" s="2562">
        <v>1</v>
      </c>
      <c r="H47" s="1633"/>
      <c r="I47" s="1633"/>
      <c r="J47" s="1633"/>
      <c r="K47" s="1633"/>
      <c r="L47" s="1676"/>
      <c r="M47" s="1976"/>
      <c r="N47" s="1976"/>
      <c r="O47" s="1976"/>
      <c r="P47" s="1778"/>
      <c r="Q47" s="1777"/>
      <c r="R47" s="714"/>
      <c r="S47" s="2325" t="str">
        <f>INDEX(PT_DIFFERENTIATION_NUM_CS,MATCH(C47,PT_DIFFERENTIATION_CS_ID,0))</f>
        <v>..</v>
      </c>
      <c r="T47" s="670" t="s">
        <v>440</v>
      </c>
      <c r="U47" s="661"/>
      <c r="V47" s="2522"/>
      <c r="W47" s="2522"/>
      <c r="X47" s="2522"/>
      <c r="Y47" s="2522"/>
      <c r="Z47" s="2522"/>
      <c r="AA47" s="2523"/>
      <c r="AB47" s="2319"/>
      <c r="AC47" s="2522"/>
      <c r="AD47" s="2522"/>
      <c r="AE47" s="2522"/>
      <c r="AF47" s="2522"/>
      <c r="AG47" s="2522"/>
      <c r="AH47" s="2522"/>
      <c r="AI47" s="2522"/>
      <c r="AJ47" s="2523"/>
      <c r="AK47" s="1623" t="s">
        <v>441</v>
      </c>
      <c r="AM47" s="1990"/>
      <c r="AN47" s="1990" t="str">
        <f>IF(T47="","",T47)</f>
        <v>Наименование системы теплоснабжения </v>
      </c>
      <c r="AO47" s="1990"/>
      <c r="AP47" s="1990"/>
    </row>
    <row customHeight="1" ht="21">
      <c r="A48" s="1633" t="s">
        <v>210</v>
      </c>
      <c r="B48" s="1633" t="s">
        <v>211</v>
      </c>
      <c r="C48" s="1633" t="s">
        <v>212</v>
      </c>
      <c r="D48" s="1633" t="s">
        <v>213</v>
      </c>
      <c r="E48" s="2563"/>
      <c r="F48" s="2563"/>
      <c r="G48" s="2563"/>
      <c r="H48" s="2562">
        <v>1</v>
      </c>
      <c r="I48" s="1633"/>
      <c r="J48" s="1633"/>
      <c r="K48" s="1633"/>
      <c r="L48" s="1676"/>
      <c r="M48" s="1976"/>
      <c r="N48" s="1976"/>
      <c r="O48" s="1976"/>
      <c r="P48" s="1778"/>
      <c r="Q48" s="1777"/>
      <c r="R48" s="714"/>
      <c r="S48" s="2325" t="str">
        <f>INDEX(PT_DIFFERENTIATION_NUM_IST_TE,MATCH(D48,PT_DIFFERENTIATION_IST_TE_ID,0))</f>
        <v>...</v>
      </c>
      <c r="T48" s="671" t="s">
        <v>442</v>
      </c>
      <c r="U48" s="661"/>
      <c r="V48" s="2522"/>
      <c r="W48" s="2522"/>
      <c r="X48" s="2522"/>
      <c r="Y48" s="2522"/>
      <c r="Z48" s="2522"/>
      <c r="AA48" s="2523"/>
      <c r="AB48" s="2319"/>
      <c r="AC48" s="2522"/>
      <c r="AD48" s="2522"/>
      <c r="AE48" s="2522"/>
      <c r="AF48" s="2522"/>
      <c r="AG48" s="2522"/>
      <c r="AH48" s="2522"/>
      <c r="AI48" s="2522"/>
      <c r="AJ48" s="2523"/>
      <c r="AK48" s="1623" t="s">
        <v>443</v>
      </c>
      <c r="AM48" s="1990"/>
      <c r="AN48" s="1990" t="str">
        <f>IF(T48="","",T48)</f>
        <v>Источник тепловой энергии  </v>
      </c>
      <c r="AO48" s="1990"/>
      <c r="AP48" s="1990"/>
    </row>
    <row s="32341" customFormat="1" customHeight="1" ht="0">
      <c r="A49" s="1741" t="s">
        <v>210</v>
      </c>
      <c r="B49" s="1741" t="s">
        <v>211</v>
      </c>
      <c r="C49" s="1741" t="s">
        <v>212</v>
      </c>
      <c r="D49" s="1741" t="s">
        <v>213</v>
      </c>
      <c r="E49" s="2563"/>
      <c r="F49" s="2563"/>
      <c r="G49" s="2563"/>
      <c r="H49" s="2563"/>
      <c r="I49" s="2392" t="str">
        <f>S48&amp;".1"</f>
        <v>....1</v>
      </c>
      <c r="J49" s="1741"/>
      <c r="K49" s="1741"/>
      <c r="L49" s="1747" t="s">
        <v>444</v>
      </c>
      <c r="M49" s="1611"/>
      <c r="N49" s="1611"/>
      <c r="O49" s="1611"/>
      <c r="P49" s="2531">
        <v>1</v>
      </c>
      <c r="Q49" s="2321"/>
      <c r="R49" s="717"/>
      <c r="S49" s="1404"/>
      <c r="T49" s="1749"/>
      <c r="U49" s="1750"/>
      <c r="V49" s="2570"/>
      <c r="W49" s="2570"/>
      <c r="X49" s="2570"/>
      <c r="Y49" s="2570"/>
      <c r="Z49" s="2570"/>
      <c r="AA49" s="2571"/>
      <c r="AB49" s="2327"/>
      <c r="AC49" s="2570"/>
      <c r="AD49" s="2570"/>
      <c r="AE49" s="2570"/>
      <c r="AF49" s="2570"/>
      <c r="AG49" s="2570"/>
      <c r="AH49" s="2570"/>
      <c r="AI49" s="2570"/>
      <c r="AJ49" s="2571"/>
      <c r="AK49" s="1751"/>
      <c r="AM49" s="1990"/>
      <c r="AN49" s="1990" t="str">
        <f>IF(T49="","",T49)</f>
        <v/>
      </c>
      <c r="AO49" s="1990"/>
      <c r="AP49" s="1990"/>
    </row>
    <row s="32341" customFormat="1" customHeight="1" ht="0">
      <c r="A50" s="1741" t="s">
        <v>210</v>
      </c>
      <c r="B50" s="1741" t="s">
        <v>211</v>
      </c>
      <c r="C50" s="1741" t="s">
        <v>212</v>
      </c>
      <c r="D50" s="1741" t="s">
        <v>213</v>
      </c>
      <c r="E50" s="2563"/>
      <c r="F50" s="2563"/>
      <c r="G50" s="2563"/>
      <c r="H50" s="2563"/>
      <c r="I50" s="2376"/>
      <c r="J50" s="2392" t="str">
        <f>S48&amp;".1"</f>
        <v>....1</v>
      </c>
      <c r="K50" s="1741"/>
      <c r="L50" s="1747"/>
      <c r="M50" s="1611"/>
      <c r="N50" s="1611"/>
      <c r="O50" s="1611"/>
      <c r="P50" s="2531"/>
      <c r="Q50" s="2531">
        <v>1</v>
      </c>
      <c r="R50" s="718"/>
      <c r="S50" s="1404"/>
      <c r="T50" s="1765"/>
      <c r="U50" s="1750"/>
      <c r="V50" s="2570"/>
      <c r="W50" s="2570"/>
      <c r="X50" s="2570"/>
      <c r="Y50" s="2570"/>
      <c r="Z50" s="2570"/>
      <c r="AA50" s="2571"/>
      <c r="AB50" s="2327"/>
      <c r="AC50" s="2570"/>
      <c r="AD50" s="2570"/>
      <c r="AE50" s="2570"/>
      <c r="AF50" s="2570"/>
      <c r="AG50" s="2570"/>
      <c r="AH50" s="2570"/>
      <c r="AI50" s="2570"/>
      <c r="AJ50" s="2571"/>
      <c r="AK50" s="1751"/>
      <c r="AM50" s="1990"/>
      <c r="AN50" s="1990" t="str">
        <f>IF(T50="","",T50)</f>
        <v/>
      </c>
      <c r="AO50" s="1990"/>
      <c r="AP50" s="1990"/>
    </row>
    <row customHeight="1" ht="21">
      <c r="A51" s="1633" t="s">
        <v>210</v>
      </c>
      <c r="B51" s="1633" t="s">
        <v>211</v>
      </c>
      <c r="C51" s="1633" t="s">
        <v>212</v>
      </c>
      <c r="D51" s="1633" t="s">
        <v>213</v>
      </c>
      <c r="E51" s="2563"/>
      <c r="F51" s="2563"/>
      <c r="G51" s="2563"/>
      <c r="H51" s="2563"/>
      <c r="I51" s="2376"/>
      <c r="J51" s="2376"/>
      <c r="K51" s="2308" t="str">
        <f>S48&amp;".1"</f>
        <v>....1</v>
      </c>
      <c r="L51" s="1676"/>
      <c r="P51" s="2531"/>
      <c r="Q51" s="2531"/>
      <c r="R51" s="718">
        <v>1</v>
      </c>
      <c r="S51" s="2329" t="str">
        <f>$K51</f>
        <v>....1</v>
      </c>
      <c r="T51" s="2328"/>
      <c r="U51" s="661"/>
      <c r="V51" s="1112"/>
      <c r="W51" s="1622"/>
      <c r="X51" s="2322"/>
      <c r="Y51" s="2309" t="s">
        <v>66</v>
      </c>
      <c r="Z51" s="2322"/>
      <c r="AA51" s="2309" t="s">
        <v>66</v>
      </c>
      <c r="AB51" s="2331"/>
      <c r="AC51" s="2330" t="s">
        <v>24</v>
      </c>
      <c r="AD51" s="1112"/>
      <c r="AE51" s="1622"/>
      <c r="AF51" s="2322"/>
      <c r="AG51" s="2309" t="s">
        <v>66</v>
      </c>
      <c r="AH51" s="2322"/>
      <c r="AI51" s="2309" t="s">
        <v>66</v>
      </c>
      <c r="AJ51" s="1714"/>
      <c r="AK51" s="2557" t="s">
        <v>519</v>
      </c>
      <c r="AL51" s="2002">
        <f>STRCHECKDATE(#REF!)</f>
      </c>
      <c r="AM51" s="1990"/>
      <c r="AN51" s="1990" t="str">
        <f>IF(T51="","",T51)</f>
        <v/>
      </c>
      <c r="AO51" s="1990"/>
      <c r="AP51" s="1990"/>
    </row>
    <row customHeight="1" ht="11.25">
      <c r="A52" s="1633" t="s">
        <v>210</v>
      </c>
      <c r="B52" s="1633" t="s">
        <v>211</v>
      </c>
      <c r="C52" s="1633" t="s">
        <v>212</v>
      </c>
      <c r="D52" s="1633" t="s">
        <v>213</v>
      </c>
      <c r="E52" s="2563"/>
      <c r="F52" s="2563"/>
      <c r="G52" s="2563"/>
      <c r="H52" s="2563"/>
      <c r="I52" s="2376"/>
      <c r="J52" s="2392"/>
      <c r="K52" s="1633"/>
      <c r="L52" s="1676"/>
      <c r="P52" s="2531"/>
      <c r="Q52" s="2531"/>
      <c r="R52" s="717"/>
      <c r="S52" s="1644"/>
      <c r="T52" s="648" t="s">
        <v>506</v>
      </c>
      <c r="U52" s="961"/>
      <c r="V52" s="961"/>
      <c r="W52" s="961"/>
      <c r="X52" s="961"/>
      <c r="Y52" s="961"/>
      <c r="Z52" s="961"/>
      <c r="AA52" s="685"/>
      <c r="AB52" s="961"/>
      <c r="AC52" s="961"/>
      <c r="AD52" s="961"/>
      <c r="AE52" s="961"/>
      <c r="AF52" s="961"/>
      <c r="AG52" s="961"/>
      <c r="AH52" s="961"/>
      <c r="AI52" s="961"/>
      <c r="AJ52" s="685"/>
      <c r="AK52" s="2559"/>
      <c r="AM52" s="1990"/>
      <c r="AN52" s="1990" t="str">
        <f>IF(T52="","",T52)</f>
        <v>Добавить строку</v>
      </c>
      <c r="AO52" s="1990"/>
      <c r="AP52" s="1990"/>
    </row>
    <row s="32341" customFormat="1" customHeight="1" ht="5.25">
      <c r="A53" s="1741" t="s">
        <v>210</v>
      </c>
      <c r="B53" s="1741" t="s">
        <v>211</v>
      </c>
      <c r="C53" s="1741" t="s">
        <v>212</v>
      </c>
      <c r="D53" s="1741" t="s">
        <v>213</v>
      </c>
      <c r="E53" s="2563"/>
      <c r="F53" s="2563"/>
      <c r="G53" s="2563"/>
      <c r="H53" s="2563"/>
      <c r="I53" s="2392"/>
      <c r="J53" s="1741"/>
      <c r="K53" s="1741"/>
      <c r="L53" s="1747"/>
      <c r="M53" s="1611"/>
      <c r="N53" s="1611"/>
      <c r="O53" s="1611"/>
      <c r="P53" s="2531"/>
      <c r="Q53" s="2321"/>
      <c r="R53" s="717"/>
      <c r="S53" s="1752"/>
      <c r="T53" s="1753" t="s">
        <v>453</v>
      </c>
      <c r="U53" s="1754"/>
      <c r="V53" s="1754"/>
      <c r="W53" s="1754"/>
      <c r="X53" s="1754"/>
      <c r="Y53" s="1754"/>
      <c r="Z53" s="1754"/>
      <c r="AA53" s="1754"/>
      <c r="AB53" s="1754"/>
      <c r="AC53" s="1754"/>
      <c r="AD53" s="1754"/>
      <c r="AE53" s="1754"/>
      <c r="AF53" s="1754"/>
      <c r="AG53" s="1754"/>
      <c r="AH53" s="1754"/>
      <c r="AI53" s="1754"/>
      <c r="AJ53" s="1754"/>
      <c r="AK53" s="1755"/>
      <c r="AM53" s="1990"/>
      <c r="AN53" s="1990" t="str">
        <f>IF(T53="","",T53)</f>
        <v>Добавить группу потребителей</v>
      </c>
      <c r="AO53" s="1990"/>
      <c r="AP53" s="1990"/>
    </row>
    <row s="32338" customFormat="1" customHeight="1" ht="5.25">
      <c r="A54" s="1741" t="s">
        <v>210</v>
      </c>
      <c r="B54" s="1741" t="s">
        <v>211</v>
      </c>
      <c r="C54" s="1741" t="s">
        <v>212</v>
      </c>
      <c r="D54" s="1741" t="s">
        <v>213</v>
      </c>
      <c r="E54" s="2563"/>
      <c r="F54" s="2563"/>
      <c r="G54" s="2563"/>
      <c r="H54" s="2562"/>
      <c r="I54" s="1741"/>
      <c r="J54" s="1741"/>
      <c r="K54" s="1741"/>
      <c r="L54" s="1747"/>
      <c r="M54" s="1744"/>
      <c r="N54" s="1744"/>
      <c r="O54" s="712"/>
      <c r="P54" s="741"/>
      <c r="Q54" s="1710"/>
      <c r="R54" s="1766"/>
      <c r="S54" s="1752"/>
      <c r="T54" s="1753"/>
      <c r="U54" s="1754"/>
      <c r="V54" s="1754"/>
      <c r="W54" s="1754"/>
      <c r="X54" s="1754"/>
      <c r="Y54" s="1754"/>
      <c r="Z54" s="1754"/>
      <c r="AA54" s="1754"/>
      <c r="AB54" s="1754"/>
      <c r="AC54" s="1754"/>
      <c r="AD54" s="1754"/>
      <c r="AE54" s="1754"/>
      <c r="AF54" s="1754"/>
      <c r="AG54" s="1754"/>
      <c r="AH54" s="1754"/>
      <c r="AI54" s="1754"/>
      <c r="AJ54" s="1754"/>
      <c r="AK54" s="1755"/>
      <c r="AL54" s="2002"/>
      <c r="AM54" s="1990"/>
      <c r="AN54" s="1990" t="str">
        <f>IF(T54="","",T54)</f>
        <v/>
      </c>
      <c r="AO54" s="1990"/>
      <c r="AP54" s="1990"/>
    </row>
    <row s="32321" customFormat="1" customHeight="1" ht="5.25">
      <c r="A55" s="1741" t="s">
        <v>210</v>
      </c>
      <c r="B55" s="1741" t="s">
        <v>211</v>
      </c>
      <c r="C55" s="1741" t="s">
        <v>212</v>
      </c>
      <c r="D55" s="1740"/>
      <c r="E55" s="2563"/>
      <c r="F55" s="2563"/>
      <c r="G55" s="2562"/>
      <c r="H55" s="1740"/>
      <c r="I55" s="1740"/>
      <c r="J55" s="1740"/>
      <c r="K55" s="1740"/>
      <c r="L55" s="1743"/>
      <c r="M55" s="1744"/>
      <c r="N55" s="1744"/>
      <c r="O55" s="712"/>
      <c r="P55" s="1682"/>
      <c r="Q55" s="1683"/>
      <c r="R55" s="1682"/>
      <c r="S55" s="1688"/>
      <c r="T55" s="1691" t="s">
        <v>455</v>
      </c>
      <c r="U55" s="1690"/>
      <c r="V55" s="1690"/>
      <c r="W55" s="1690"/>
      <c r="X55" s="1690"/>
      <c r="Y55" s="1690"/>
      <c r="Z55" s="1690"/>
      <c r="AA55" s="1690"/>
      <c r="AB55" s="1690"/>
      <c r="AC55" s="1690"/>
      <c r="AD55" s="1690"/>
      <c r="AE55" s="1690"/>
      <c r="AF55" s="1690"/>
      <c r="AG55" s="1690"/>
      <c r="AH55" s="1690"/>
      <c r="AI55" s="1690"/>
      <c r="AJ55" s="1690"/>
      <c r="AK55" s="1690"/>
      <c r="AM55" s="1616"/>
      <c r="AN55" s="1616" t="str">
        <f>IF(T55="","",T55)</f>
        <v>Добавить источник для дифференциации</v>
      </c>
      <c r="AO55" s="1616"/>
      <c r="AP55" s="1616"/>
    </row>
    <row s="32321" customFormat="1" customHeight="1" ht="5.25">
      <c r="A56" s="1741" t="s">
        <v>210</v>
      </c>
      <c r="B56" s="1741" t="s">
        <v>211</v>
      </c>
      <c r="C56" s="1740"/>
      <c r="D56" s="1740"/>
      <c r="E56" s="2563"/>
      <c r="F56" s="2562"/>
      <c r="G56" s="1740"/>
      <c r="H56" s="1740"/>
      <c r="I56" s="1740"/>
      <c r="J56" s="1740"/>
      <c r="K56" s="1740"/>
      <c r="L56" s="1743"/>
      <c r="M56" s="1745"/>
      <c r="N56" s="1745"/>
      <c r="O56" s="712"/>
      <c r="P56" s="1682"/>
      <c r="Q56" s="1683"/>
      <c r="R56" s="1682"/>
      <c r="S56" s="1688"/>
      <c r="T56" s="1691" t="s">
        <v>262</v>
      </c>
      <c r="U56" s="1690"/>
      <c r="V56" s="1690"/>
      <c r="W56" s="1690"/>
      <c r="X56" s="1690"/>
      <c r="Y56" s="1690"/>
      <c r="Z56" s="1690"/>
      <c r="AA56" s="1690"/>
      <c r="AB56" s="1690"/>
      <c r="AC56" s="1690"/>
      <c r="AD56" s="1690"/>
      <c r="AE56" s="1690"/>
      <c r="AF56" s="1690"/>
      <c r="AG56" s="1690"/>
      <c r="AH56" s="1690"/>
      <c r="AI56" s="1690"/>
      <c r="AJ56" s="1690"/>
      <c r="AK56" s="1690"/>
      <c r="AM56" s="1616"/>
      <c r="AN56" s="1616" t="str">
        <f>IF(T56="","",T56)</f>
        <v>Добавить централизованную систему для дифференциации</v>
      </c>
      <c r="AO56" s="1616"/>
      <c r="AP56" s="1616"/>
    </row>
    <row s="32341" customFormat="1" customHeight="1" ht="5.25">
      <c r="A57" s="1741" t="s">
        <v>210</v>
      </c>
      <c r="B57" s="1741"/>
      <c r="C57" s="1741"/>
      <c r="D57" s="1741"/>
      <c r="E57" s="2563"/>
      <c r="F57" s="1741"/>
      <c r="G57" s="1741"/>
      <c r="H57" s="1741"/>
      <c r="I57" s="1741"/>
      <c r="J57" s="1741"/>
      <c r="K57" s="1741"/>
      <c r="L57" s="1747"/>
      <c r="M57" s="1745"/>
      <c r="N57" s="1745"/>
      <c r="O57" s="712"/>
      <c r="P57" s="741"/>
      <c r="Q57" s="1710"/>
      <c r="R57" s="741"/>
      <c r="S57" s="1688"/>
      <c r="T57" s="1691" t="s">
        <v>270</v>
      </c>
      <c r="U57" s="1690"/>
      <c r="V57" s="1690"/>
      <c r="W57" s="1690"/>
      <c r="X57" s="1690"/>
      <c r="Y57" s="1690"/>
      <c r="Z57" s="1690"/>
      <c r="AA57" s="1690"/>
      <c r="AB57" s="1690"/>
      <c r="AC57" s="1690"/>
      <c r="AD57" s="1690"/>
      <c r="AE57" s="1690"/>
      <c r="AF57" s="1690"/>
      <c r="AG57" s="1690"/>
      <c r="AH57" s="1690"/>
      <c r="AI57" s="1690"/>
      <c r="AJ57" s="1690"/>
      <c r="AK57" s="1690"/>
      <c r="AM57" s="1990"/>
      <c r="AN57" s="1990" t="str">
        <f>IF(T57="","",T57)</f>
        <v>Добавить территорию для дифференциации</v>
      </c>
      <c r="AO57" s="1990"/>
      <c r="AP57" s="1990"/>
    </row>
    <row s="32341" customFormat="1" customHeight="1" ht="5.25">
      <c r="A58" s="1741" t="s">
        <v>210</v>
      </c>
      <c r="B58" s="1741"/>
      <c r="C58" s="1741"/>
      <c r="D58" s="1741"/>
      <c r="E58" s="2562"/>
      <c r="F58" s="1741"/>
      <c r="G58" s="1741"/>
      <c r="H58" s="1741"/>
      <c r="I58" s="1741"/>
      <c r="J58" s="1741"/>
      <c r="K58" s="1741"/>
      <c r="L58" s="1747"/>
      <c r="M58" s="1745"/>
      <c r="N58" s="1745"/>
      <c r="O58" s="712"/>
      <c r="P58" s="741"/>
      <c r="Q58" s="1710"/>
      <c r="R58" s="741"/>
      <c r="S58" s="1688"/>
      <c r="T58" s="1691" t="s">
        <v>270</v>
      </c>
      <c r="U58" s="1690"/>
      <c r="V58" s="1690"/>
      <c r="W58" s="1690"/>
      <c r="X58" s="1690"/>
      <c r="Y58" s="1690"/>
      <c r="Z58" s="1690"/>
      <c r="AA58" s="1690"/>
      <c r="AB58" s="1690"/>
      <c r="AC58" s="1690"/>
      <c r="AD58" s="1690"/>
      <c r="AE58" s="1690"/>
      <c r="AF58" s="1690"/>
      <c r="AG58" s="1690"/>
      <c r="AH58" s="1690"/>
      <c r="AI58" s="1690"/>
      <c r="AJ58" s="1690"/>
      <c r="AK58" s="1690"/>
      <c r="AM58" s="1990"/>
      <c r="AN58" s="1990" t="str">
        <f>IF(T58="","",T58)</f>
        <v>Добавить территорию для дифференциации</v>
      </c>
      <c r="AO58" s="1990"/>
      <c r="AP58" s="1990"/>
    </row>
    <row s="32321" customFormat="1" customHeight="1" ht="5.25">
      <c r="A59" s="1740"/>
      <c r="B59" s="1740"/>
      <c r="C59" s="1740"/>
      <c r="D59" s="1740"/>
      <c r="E59" s="1741"/>
      <c r="F59" s="1740"/>
      <c r="G59" s="1740"/>
      <c r="H59" s="1740"/>
      <c r="I59" s="1740"/>
      <c r="J59" s="1740"/>
      <c r="K59" s="1740"/>
      <c r="L59" s="1743"/>
      <c r="M59" s="1745"/>
      <c r="N59" s="1745"/>
      <c r="O59" s="712"/>
      <c r="P59" s="1682"/>
      <c r="Q59" s="1683"/>
      <c r="R59" s="1682"/>
      <c r="S59" s="1688"/>
      <c r="T59" s="1691" t="s">
        <v>294</v>
      </c>
      <c r="U59" s="1690"/>
      <c r="V59" s="1690"/>
      <c r="W59" s="1690"/>
      <c r="X59" s="1690"/>
      <c r="Y59" s="1690"/>
      <c r="Z59" s="1690"/>
      <c r="AA59" s="1690"/>
      <c r="AB59" s="1690"/>
      <c r="AC59" s="1690"/>
      <c r="AD59" s="1690"/>
      <c r="AE59" s="1690"/>
      <c r="AF59" s="1690"/>
      <c r="AG59" s="1690"/>
      <c r="AH59" s="1690"/>
      <c r="AI59" s="1690"/>
      <c r="AJ59" s="1690"/>
      <c r="AK59" s="1690"/>
      <c r="AM59" s="1616"/>
      <c r="AN59" s="1616" t="str">
        <f>IF(T59="","",T59)</f>
        <v>Добавить наименование тарифа</v>
      </c>
      <c r="AO59" s="1616"/>
      <c r="AP59" s="1616"/>
    </row>
    <row customHeight="1" ht="11.25">
      <c r="M60" s="1997"/>
      <c r="N60" s="1997"/>
      <c r="O60" s="2001"/>
      <c r="P60" s="1732"/>
      <c r="Q60" s="1732"/>
      <c r="R60" s="1997"/>
      <c r="S60" s="1997"/>
      <c r="AL60" s="1997"/>
      <c r="AM60" s="1997"/>
      <c r="AN60" s="1997"/>
      <c r="AO60" s="1997"/>
      <c r="AP60" s="1997"/>
    </row>
    <row customHeight="1" ht="18.75">
      <c r="O61" s="2001"/>
      <c r="S61" s="1618"/>
      <c r="T61" s="2526"/>
      <c r="U61" s="2526"/>
      <c r="V61" s="2526"/>
      <c r="W61" s="2526"/>
      <c r="X61" s="2526"/>
      <c r="Y61" s="2526"/>
      <c r="Z61" s="2526"/>
      <c r="AA61" s="2526"/>
      <c r="AB61" s="2526"/>
      <c r="AC61" s="2526"/>
      <c r="AD61" s="2526"/>
      <c r="AE61" s="2526"/>
      <c r="AF61" s="2526"/>
      <c r="AG61" s="2526"/>
      <c r="AH61" s="2526"/>
      <c r="AI61" s="2526"/>
      <c r="AJ61" s="2526"/>
      <c r="AK61" s="2526"/>
    </row>
    <row customHeight="1" ht="19.5">
      <c r="O62" s="2001"/>
      <c r="T62" s="2526"/>
      <c r="U62" s="2526"/>
      <c r="V62" s="2526"/>
      <c r="W62" s="2526"/>
      <c r="X62" s="2526"/>
      <c r="Y62" s="2526"/>
      <c r="Z62" s="2526"/>
      <c r="AA62" s="2526"/>
      <c r="AB62" s="2526"/>
      <c r="AC62" s="2526"/>
      <c r="AD62" s="2526"/>
      <c r="AE62" s="2526"/>
      <c r="AF62" s="2526"/>
      <c r="AG62" s="2526"/>
      <c r="AH62" s="2526"/>
      <c r="AI62" s="2526"/>
      <c r="AJ62" s="2526"/>
      <c r="AK62" s="2526"/>
    </row>
    <row customHeight="1" ht="14.25">
      <c r="O63" s="2001"/>
      <c r="T63" s="2320"/>
      <c r="U63" s="2320"/>
      <c r="V63" s="2320"/>
      <c r="W63" s="2320"/>
      <c r="X63" s="2320"/>
      <c r="Y63" s="2320"/>
      <c r="Z63" s="2320"/>
      <c r="AA63" s="2320"/>
      <c r="AB63" s="2320"/>
      <c r="AC63" s="2320"/>
      <c r="AD63" s="2320"/>
      <c r="AE63" s="2320"/>
      <c r="AF63" s="2320"/>
      <c r="AG63" s="2320"/>
      <c r="AH63" s="2320"/>
      <c r="AI63" s="2320"/>
      <c r="AJ63" s="2320"/>
      <c r="AK63" s="2320"/>
    </row>
    <row customHeight="1" ht="18.75">
      <c r="O64" s="2001"/>
      <c r="T64" s="2526"/>
      <c r="U64" s="2526"/>
      <c r="V64" s="2526"/>
      <c r="W64" s="2526"/>
      <c r="X64" s="2526"/>
      <c r="Y64" s="2526"/>
      <c r="Z64" s="2526"/>
      <c r="AA64" s="2526"/>
      <c r="AB64" s="2526"/>
      <c r="AC64" s="2526"/>
      <c r="AD64" s="2526"/>
      <c r="AE64" s="2526"/>
      <c r="AF64" s="2526"/>
      <c r="AG64" s="2526"/>
      <c r="AH64" s="2526"/>
      <c r="AI64" s="2526"/>
      <c r="AJ64" s="2526"/>
      <c r="AK64" s="2526"/>
    </row>
    <row customHeight="1" ht="15.75">
      <c r="O65" s="2001"/>
      <c r="T65" s="2526"/>
      <c r="U65" s="2526"/>
      <c r="V65" s="2526"/>
      <c r="W65" s="2526"/>
      <c r="X65" s="2526"/>
      <c r="Y65" s="2526"/>
      <c r="Z65" s="2526"/>
      <c r="AA65" s="2526"/>
      <c r="AB65" s="2526"/>
      <c r="AC65" s="2526"/>
      <c r="AD65" s="2526"/>
      <c r="AE65" s="2526"/>
      <c r="AF65" s="2526"/>
      <c r="AG65" s="2526"/>
      <c r="AH65" s="2526"/>
      <c r="AI65" s="2526"/>
      <c r="AJ65" s="2526"/>
      <c r="AK65" s="2526"/>
    </row>
    <row customHeight="1" ht="14.25">
      <c r="O66" s="2001"/>
    </row>
  </sheetData>
  <sheetProtection sort="0" autoFilter="0" insertRows="0" insertColumns="1" deleteRows="0" deleteColumns="0"/>
  <mergeCells count="97">
    <mergeCell ref="T65:AK65"/>
    <mergeCell ref="V50:AA50"/>
    <mergeCell ref="AC50:AJ50"/>
    <mergeCell ref="AK51:AK52"/>
    <mergeCell ref="T61:AK61"/>
    <mergeCell ref="T62:AK62"/>
    <mergeCell ref="T64:AK64"/>
    <mergeCell ref="I49:I53"/>
    <mergeCell ref="P49:P53"/>
    <mergeCell ref="V49:AA49"/>
    <mergeCell ref="AC49:AJ49"/>
    <mergeCell ref="J50:J52"/>
    <mergeCell ref="Q50:Q5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S36:T36"/>
    <mergeCell ref="V36:Z36"/>
    <mergeCell ref="AC36:AH36"/>
    <mergeCell ref="V38:AA38"/>
    <mergeCell ref="AC38:AI38"/>
    <mergeCell ref="S33:T33"/>
    <mergeCell ref="V33:Z33"/>
    <mergeCell ref="AC33:AH33"/>
    <mergeCell ref="S35:T35"/>
    <mergeCell ref="V35:Z35"/>
    <mergeCell ref="AC35:AH35"/>
    <mergeCell ref="S31:T31"/>
    <mergeCell ref="V31:Z31"/>
    <mergeCell ref="AC31:AH31"/>
    <mergeCell ref="S32:T32"/>
    <mergeCell ref="V32:Z32"/>
    <mergeCell ref="AC32:AH32"/>
    <mergeCell ref="AK8:AK12"/>
    <mergeCell ref="S27:AH27"/>
    <mergeCell ref="S30:T30"/>
    <mergeCell ref="V30:Z30"/>
    <mergeCell ref="AC30:AH30"/>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s>
  <dataValidations count="10">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23BBC-0573-845C-943F-239C6121F0F9}" mc:Ignorable="x14ac xr xr2 xr3">
  <sheetPr>
    <tabColor theme="6" tint="0.4"/>
  </sheetPr>
  <dimension ref="A1:BH80"/>
  <sheetViews>
    <sheetView topLeftCell="A1" showGridLines="0" zoomScale="90" workbookViewId="0">
      <selection activeCell="AS80" sqref="AS80"/>
    </sheetView>
  </sheetViews>
  <sheetFormatPr defaultColWidth="10.57421875" customHeight="1" defaultRowHeight="14.25"/>
  <cols>
    <col min="1" max="1" style="32217" width="11.57421875" hidden="1" customWidth="1"/>
    <col min="2" max="2" style="32217" width="11.00390625" hidden="1" customWidth="1"/>
    <col min="3" max="3" style="32217" width="10.57421875" hidden="1"/>
    <col min="4" max="4" style="32217" width="12.8515625" hidden="1" customWidth="1"/>
    <col min="5" max="5" style="32217" width="10.00390625" hidden="1" customWidth="1"/>
    <col min="6" max="6" style="32217" width="8.7109375" hidden="1" customWidth="1"/>
    <col min="7" max="7" style="32217" width="7.57421875" hidden="1" customWidth="1"/>
    <col min="8" max="8" style="32217" width="11.421875" hidden="1" customWidth="1"/>
    <col min="9" max="9" style="32217" width="12.00390625" hidden="1" customWidth="1"/>
    <col min="10" max="10" style="32217" width="9.8515625" hidden="1" customWidth="1"/>
    <col min="11" max="11" style="32217" width="11.421875" hidden="1" customWidth="1"/>
    <col min="12" max="12" style="32555" width="19.140625" hidden="1" customWidth="1"/>
    <col min="13" max="14" style="32298" width="12.28125" hidden="1" customWidth="1"/>
    <col min="15" max="15" style="32298" width="23.421875" hidden="1" customWidth="1"/>
    <col min="16" max="16" style="32298" width="3.7109375" hidden="1" customWidth="1"/>
    <col min="17" max="17" style="32470" width="3.7109375" hidden="1" customWidth="1"/>
    <col min="18" max="18" style="32300" width="3.7109375" customWidth="1"/>
    <col min="19" max="19" style="32301" width="12.7109375" customWidth="1"/>
    <col min="20" max="20" style="32302" width="32.00390625" customWidth="1"/>
    <col min="21" max="21" style="32302" width="0.140625" customWidth="1"/>
    <col min="22" max="25" style="32302" width="21.7109375" hidden="1" customWidth="1"/>
    <col min="26" max="26" style="32302" width="11.7109375" hidden="1" customWidth="1"/>
    <col min="27" max="27" style="32302" width="3.7109375" hidden="1" customWidth="1"/>
    <col min="28" max="28" style="32302" width="11.7109375" hidden="1" customWidth="1"/>
    <col min="29" max="29" style="32302" width="8.57421875" hidden="1" customWidth="1"/>
    <col min="30" max="32" style="32302" width="3.7109375" customWidth="1"/>
    <col min="33" max="33" style="32302" width="24.7109375" customWidth="1"/>
    <col min="34" max="36" style="32302" width="3.7109375" customWidth="1"/>
    <col min="37" max="37" style="32302" width="24.7109375" customWidth="1"/>
    <col min="38" max="40" style="32302" width="3.7109375" customWidth="1"/>
    <col min="41" max="41" style="32302" width="18.8515625" customWidth="1"/>
    <col min="42" max="44" style="32302" width="3.7109375" customWidth="1"/>
    <col min="45" max="45" style="32302" width="18.8515625" customWidth="1"/>
    <col min="46" max="49" style="32302" width="21.7109375" customWidth="1"/>
    <col min="50" max="50" style="32302" width="11.7109375" customWidth="1"/>
    <col min="51" max="51" style="32302" width="3.7109375" customWidth="1"/>
    <col min="52" max="52" style="32302" width="11.7109375" customWidth="1"/>
    <col min="53" max="53" style="32302" width="8.57421875" hidden="1" customWidth="1"/>
    <col min="54" max="54" style="32302" width="4.7109375" customWidth="1"/>
    <col min="55" max="55" style="32302" width="115.7109375" customWidth="1"/>
    <col min="56" max="57" style="32289" width="10.57421875"/>
    <col min="58" max="58" style="32289" width="11.140625" customWidth="1"/>
    <col min="59" max="60" style="32289" width="10.57421875"/>
  </cols>
  <sheetData>
    <row customHeight="1" ht="14.25" hidden="1">
      <c r="W1" s="688"/>
      <c r="Y1" s="688"/>
      <c r="Z1" s="688"/>
      <c r="AW1" s="688"/>
      <c r="AX1" s="688"/>
    </row>
    <row customHeight="1" ht="21" hidden="1">
      <c r="A2" s="1729"/>
      <c r="B2" s="1729"/>
      <c r="C2" s="1729"/>
      <c r="D2" s="1729"/>
      <c r="E2" s="2527">
        <v>1</v>
      </c>
      <c r="F2" s="1729"/>
      <c r="G2" s="1729"/>
      <c r="H2" s="1729"/>
      <c r="I2" s="1729"/>
      <c r="J2" s="1729"/>
      <c r="K2" s="1729"/>
      <c r="L2" s="1730"/>
      <c r="M2" s="1731"/>
      <c r="N2" s="1731"/>
      <c r="O2" s="1731"/>
      <c r="P2" s="1775"/>
      <c r="Q2" s="1234"/>
      <c r="R2" s="716"/>
      <c r="S2" s="1831">
        <f>INDEX(PT_DIFFERENTIATION_NUM_NTAR,MATCH(A2,PT_DIFFERENTIATION_NTAR_ID,0))</f>
      </c>
      <c r="T2" s="659" t="s">
        <v>131</v>
      </c>
      <c r="U2" s="661"/>
      <c r="V2" s="2522"/>
      <c r="W2" s="2522"/>
      <c r="X2" s="2522"/>
      <c r="Y2" s="2522"/>
      <c r="Z2" s="2522"/>
      <c r="AA2" s="2522"/>
      <c r="AB2" s="2522"/>
      <c r="AC2" s="2523"/>
      <c r="AD2" s="2521">
        <f>INDEX(PT_DIFFERENTIATION_NTAR,MATCH(A2,PT_DIFFERENTIATION_NTAR_ID,0))</f>
      </c>
      <c r="AE2" s="2522"/>
      <c r="AF2" s="2522"/>
      <c r="AG2" s="2522"/>
      <c r="AH2" s="2522"/>
      <c r="AI2" s="2522"/>
      <c r="AJ2" s="2522"/>
      <c r="AK2" s="2522"/>
      <c r="AL2" s="2522"/>
      <c r="AM2" s="2522"/>
      <c r="AN2" s="2522"/>
      <c r="AO2" s="2522"/>
      <c r="AP2" s="2522"/>
      <c r="AQ2" s="2522"/>
      <c r="AR2" s="2522"/>
      <c r="AS2" s="2522"/>
      <c r="AT2" s="2522"/>
      <c r="AU2" s="2522"/>
      <c r="AV2" s="2522"/>
      <c r="AW2" s="2522"/>
      <c r="AX2" s="2522"/>
      <c r="AY2" s="2522"/>
      <c r="AZ2" s="2522"/>
      <c r="BA2" s="2522"/>
      <c r="BB2" s="2523"/>
      <c r="BC2"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861"/>
      <c r="BF2" s="861" t="str">
        <f>IF(T2="","",T2)</f>
        <v>Наименование тарифа</v>
      </c>
      <c r="BG2" s="861"/>
      <c r="BH2" s="861"/>
    </row>
    <row customHeight="1" ht="21" hidden="1">
      <c r="A3" s="1729"/>
      <c r="B3" s="1729"/>
      <c r="C3" s="1729"/>
      <c r="D3" s="1729"/>
      <c r="E3" s="2528"/>
      <c r="F3" s="2527">
        <v>1</v>
      </c>
      <c r="G3" s="1729"/>
      <c r="H3" s="1729"/>
      <c r="I3" s="1729"/>
      <c r="J3" s="1729"/>
      <c r="K3" s="1729"/>
      <c r="L3" s="1730"/>
      <c r="M3" s="1731"/>
      <c r="N3" s="1731"/>
      <c r="O3" s="1731"/>
      <c r="P3" s="1776"/>
      <c r="Q3" s="1777"/>
      <c r="R3" s="714"/>
      <c r="S3" s="1831">
        <f>INDEX(PT_DIFFERENTIATION_NUM_TER,MATCH(B3,PT_DIFFERENTIATION_TER_ID,0))</f>
      </c>
      <c r="T3" s="669" t="s">
        <v>438</v>
      </c>
      <c r="U3" s="661"/>
      <c r="V3" s="2522"/>
      <c r="W3" s="2522"/>
      <c r="X3" s="2522"/>
      <c r="Y3" s="2522"/>
      <c r="Z3" s="2522"/>
      <c r="AA3" s="2522"/>
      <c r="AB3" s="2522"/>
      <c r="AC3" s="2523"/>
      <c r="AD3" s="2521">
        <f>INDEX(PT_DIFFERENTIATION_TER,MATCH(B3,PT_DIFFERENTIATION_TER_ID,0))</f>
      </c>
      <c r="AE3" s="2522"/>
      <c r="AF3" s="2522"/>
      <c r="AG3" s="2522"/>
      <c r="AH3" s="2522"/>
      <c r="AI3" s="2522"/>
      <c r="AJ3" s="2522"/>
      <c r="AK3" s="2522"/>
      <c r="AL3" s="2522"/>
      <c r="AM3" s="2522"/>
      <c r="AN3" s="2522"/>
      <c r="AO3" s="2522"/>
      <c r="AP3" s="2522"/>
      <c r="AQ3" s="2522"/>
      <c r="AR3" s="2522"/>
      <c r="AS3" s="2522"/>
      <c r="AT3" s="2522"/>
      <c r="AU3" s="2522"/>
      <c r="AV3" s="2522"/>
      <c r="AW3" s="2522"/>
      <c r="AX3" s="2522"/>
      <c r="AY3" s="2522"/>
      <c r="AZ3" s="2522"/>
      <c r="BA3" s="2522"/>
      <c r="BB3" s="2523"/>
      <c r="BC3" s="1623" t="s">
        <v>439</v>
      </c>
      <c r="BE3" s="861"/>
      <c r="BF3" s="861" t="str">
        <f>IF(T3="","",T3)</f>
        <v>Территория действия тарифа</v>
      </c>
      <c r="BG3" s="861"/>
      <c r="BH3" s="861"/>
    </row>
    <row customHeight="1" ht="42" hidden="1">
      <c r="A4" s="1729"/>
      <c r="B4" s="1729"/>
      <c r="C4" s="1729"/>
      <c r="D4" s="1729"/>
      <c r="E4" s="2528"/>
      <c r="F4" s="2528"/>
      <c r="G4" s="2527">
        <v>1</v>
      </c>
      <c r="H4" s="1729"/>
      <c r="I4" s="1729"/>
      <c r="J4" s="1729"/>
      <c r="K4" s="1729"/>
      <c r="L4" s="1730"/>
      <c r="M4" s="1731"/>
      <c r="N4" s="1731"/>
      <c r="O4" s="1731"/>
      <c r="P4" s="1778"/>
      <c r="Q4" s="1777"/>
      <c r="R4" s="714"/>
      <c r="S4" s="1831">
        <f>INDEX(PT_DIFFERENTIATION_NUM_CS,MATCH(C4,PT_DIFFERENTIATION_CS_ID,0))</f>
      </c>
      <c r="T4" s="670" t="s">
        <v>520</v>
      </c>
      <c r="U4" s="661"/>
      <c r="V4" s="2522"/>
      <c r="W4" s="2522"/>
      <c r="X4" s="2522"/>
      <c r="Y4" s="2522"/>
      <c r="Z4" s="2522"/>
      <c r="AA4" s="2522"/>
      <c r="AB4" s="2522"/>
      <c r="AC4" s="2523"/>
      <c r="AD4" s="2521">
        <f>INDEX(PT_DIFFERENTIATION_CS,MATCH(C4,PT_DIFFERENTIATION_CS_ID,0))</f>
      </c>
      <c r="AE4" s="2522"/>
      <c r="AF4" s="2522"/>
      <c r="AG4" s="2522"/>
      <c r="AH4" s="2522"/>
      <c r="AI4" s="2522"/>
      <c r="AJ4" s="2522"/>
      <c r="AK4" s="2522"/>
      <c r="AL4" s="2522"/>
      <c r="AM4" s="2522"/>
      <c r="AN4" s="2522"/>
      <c r="AO4" s="2522"/>
      <c r="AP4" s="2522"/>
      <c r="AQ4" s="2522"/>
      <c r="AR4" s="2522"/>
      <c r="AS4" s="2522"/>
      <c r="AT4" s="2522"/>
      <c r="AU4" s="2522"/>
      <c r="AV4" s="2522"/>
      <c r="AW4" s="2522"/>
      <c r="AX4" s="2522"/>
      <c r="AY4" s="2522"/>
      <c r="AZ4" s="2522"/>
      <c r="BA4" s="2522"/>
      <c r="BB4" s="2523"/>
      <c r="BC4" s="1623" t="s">
        <v>521</v>
      </c>
      <c r="BE4" s="861"/>
      <c r="BF4" s="861" t="str">
        <f>IF(T4="","",T4)</f>
        <v>Наименование централизованной системы холодного водоснабжения</v>
      </c>
      <c r="BG4" s="861"/>
      <c r="BH4" s="861"/>
    </row>
    <row s="32289" customFormat="1" customHeight="1" ht="14.25" hidden="1">
      <c r="A5" s="1709"/>
      <c r="B5" s="1709"/>
      <c r="C5" s="1709"/>
      <c r="D5" s="1709"/>
      <c r="E5" s="2528"/>
      <c r="F5" s="2528"/>
      <c r="G5" s="2528"/>
      <c r="H5" s="2527">
        <v>1</v>
      </c>
      <c r="I5" s="1709"/>
      <c r="J5" s="1709"/>
      <c r="K5" s="1709"/>
      <c r="L5" s="1712"/>
      <c r="M5" s="1681"/>
      <c r="N5" s="1681"/>
      <c r="O5" s="1681"/>
      <c r="P5" s="1863"/>
      <c r="Q5" s="1864"/>
      <c r="R5" s="718"/>
      <c r="S5" s="1404"/>
      <c r="T5" s="1865"/>
      <c r="U5" s="1750"/>
      <c r="V5" s="2570"/>
      <c r="W5" s="2570"/>
      <c r="X5" s="2570"/>
      <c r="Y5" s="2570"/>
      <c r="Z5" s="2570"/>
      <c r="AA5" s="2570"/>
      <c r="AB5" s="2570"/>
      <c r="AC5" s="2571"/>
      <c r="AD5" s="2569"/>
      <c r="AE5" s="2570"/>
      <c r="AF5" s="2570"/>
      <c r="AG5" s="2570"/>
      <c r="AH5" s="2570"/>
      <c r="AI5" s="2570"/>
      <c r="AJ5" s="2570"/>
      <c r="AK5" s="2570"/>
      <c r="AL5" s="2570"/>
      <c r="AM5" s="2570"/>
      <c r="AN5" s="2570"/>
      <c r="AO5" s="2570"/>
      <c r="AP5" s="2570"/>
      <c r="AQ5" s="2570"/>
      <c r="AR5" s="2570"/>
      <c r="AS5" s="2570"/>
      <c r="AT5" s="2570"/>
      <c r="AU5" s="2570"/>
      <c r="AV5" s="2570"/>
      <c r="AW5" s="2570"/>
      <c r="AX5" s="2570"/>
      <c r="AY5" s="2570"/>
      <c r="AZ5" s="2570"/>
      <c r="BA5" s="2570"/>
      <c r="BB5" s="2571"/>
      <c r="BC5" s="1751" t="s">
        <v>443</v>
      </c>
      <c r="BE5" s="861"/>
      <c r="BF5" s="861" t="str">
        <f>IF(T5="","",T5)</f>
        <v/>
      </c>
      <c r="BG5" s="861"/>
      <c r="BH5" s="861"/>
    </row>
    <row s="32289" customFormat="1" customHeight="1" ht="14.25" hidden="1">
      <c r="A6" s="1709"/>
      <c r="B6" s="1709"/>
      <c r="C6" s="1709"/>
      <c r="D6" s="1709"/>
      <c r="E6" s="2528"/>
      <c r="F6" s="2528"/>
      <c r="G6" s="2528"/>
      <c r="H6" s="2528"/>
      <c r="I6" s="2529" t="str">
        <f>S5&amp;".1"</f>
        <v>.1</v>
      </c>
      <c r="J6" s="1709"/>
      <c r="K6" s="1709"/>
      <c r="L6" s="1712" t="s">
        <v>444</v>
      </c>
      <c r="M6" s="871"/>
      <c r="N6" s="871"/>
      <c r="O6" s="871"/>
      <c r="P6" s="2531">
        <v>1</v>
      </c>
      <c r="Q6" s="1828"/>
      <c r="R6" s="717"/>
      <c r="S6" s="1404"/>
      <c r="T6" s="1749"/>
      <c r="U6" s="1750"/>
      <c r="V6" s="2570"/>
      <c r="W6" s="2570"/>
      <c r="X6" s="2570"/>
      <c r="Y6" s="2570"/>
      <c r="Z6" s="2570"/>
      <c r="AA6" s="2570"/>
      <c r="AB6" s="2570"/>
      <c r="AC6" s="2571"/>
      <c r="AD6" s="2569"/>
      <c r="AE6" s="2570"/>
      <c r="AF6" s="2570"/>
      <c r="AG6" s="2570"/>
      <c r="AH6" s="2570"/>
      <c r="AI6" s="2570"/>
      <c r="AJ6" s="2570"/>
      <c r="AK6" s="2570"/>
      <c r="AL6" s="2570"/>
      <c r="AM6" s="2570"/>
      <c r="AN6" s="2570"/>
      <c r="AO6" s="2570"/>
      <c r="AP6" s="2570"/>
      <c r="AQ6" s="2570"/>
      <c r="AR6" s="2570"/>
      <c r="AS6" s="2570"/>
      <c r="AT6" s="2570"/>
      <c r="AU6" s="2570"/>
      <c r="AV6" s="2570"/>
      <c r="AW6" s="2570"/>
      <c r="AX6" s="2570"/>
      <c r="AY6" s="2570"/>
      <c r="AZ6" s="2570"/>
      <c r="BA6" s="2570"/>
      <c r="BB6" s="2571"/>
      <c r="BC6" s="1751"/>
      <c r="BE6" s="861"/>
      <c r="BF6" s="861" t="str">
        <f>IF(T6="","",T6)</f>
        <v/>
      </c>
      <c r="BG6" s="861"/>
      <c r="BH6" s="861"/>
    </row>
    <row s="32289" customFormat="1" customHeight="1" ht="14.25" hidden="1">
      <c r="A7" s="1709"/>
      <c r="B7" s="1709"/>
      <c r="C7" s="1709"/>
      <c r="D7" s="1709"/>
      <c r="E7" s="2528"/>
      <c r="F7" s="2528"/>
      <c r="G7" s="2528"/>
      <c r="H7" s="2528"/>
      <c r="I7" s="2530"/>
      <c r="J7" s="2529" t="str">
        <f>S5&amp;".1"</f>
        <v>.1</v>
      </c>
      <c r="K7" s="1709"/>
      <c r="L7" s="1712"/>
      <c r="M7" s="871"/>
      <c r="N7" s="871"/>
      <c r="O7" s="871"/>
      <c r="P7" s="2531"/>
      <c r="Q7" s="2531">
        <v>1</v>
      </c>
      <c r="R7" s="718"/>
      <c r="S7" s="1404"/>
      <c r="T7" s="1765"/>
      <c r="U7" s="1750"/>
      <c r="V7" s="2570"/>
      <c r="W7" s="2570"/>
      <c r="X7" s="2570"/>
      <c r="Y7" s="2570"/>
      <c r="Z7" s="2570"/>
      <c r="AA7" s="2570"/>
      <c r="AB7" s="2570"/>
      <c r="AC7" s="2571"/>
      <c r="AD7" s="2569"/>
      <c r="AE7" s="2570"/>
      <c r="AF7" s="2570"/>
      <c r="AG7" s="2570"/>
      <c r="AH7" s="2570"/>
      <c r="AI7" s="2570"/>
      <c r="AJ7" s="2570"/>
      <c r="AK7" s="2570"/>
      <c r="AL7" s="2570"/>
      <c r="AM7" s="2570"/>
      <c r="AN7" s="2570"/>
      <c r="AO7" s="2570"/>
      <c r="AP7" s="2570"/>
      <c r="AQ7" s="2570"/>
      <c r="AR7" s="2570"/>
      <c r="AS7" s="2570"/>
      <c r="AT7" s="2570"/>
      <c r="AU7" s="2570"/>
      <c r="AV7" s="2570"/>
      <c r="AW7" s="2570"/>
      <c r="AX7" s="2570"/>
      <c r="AY7" s="2570"/>
      <c r="AZ7" s="2570"/>
      <c r="BA7" s="2570"/>
      <c r="BB7" s="2571"/>
      <c r="BC7" s="1751"/>
      <c r="BE7" s="861"/>
      <c r="BF7" s="861" t="str">
        <f>IF(T7="","",T7)</f>
        <v/>
      </c>
      <c r="BG7" s="861"/>
      <c r="BH7" s="861"/>
    </row>
    <row customHeight="1" ht="11.25" hidden="1">
      <c r="A8" s="1729"/>
      <c r="B8" s="1729"/>
      <c r="C8" s="1729"/>
      <c r="D8" s="1729"/>
      <c r="E8" s="2528"/>
      <c r="F8" s="2528"/>
      <c r="G8" s="2528"/>
      <c r="H8" s="2528"/>
      <c r="I8" s="2530"/>
      <c r="J8" s="2530"/>
      <c r="K8" s="2529">
        <f>S4&amp;".1"</f>
      </c>
      <c r="L8" s="1730"/>
      <c r="P8" s="2531"/>
      <c r="Q8" s="2531"/>
      <c r="R8" s="2607">
        <v>1</v>
      </c>
      <c r="S8" s="2604">
        <f>$K8</f>
      </c>
      <c r="T8" s="2624"/>
      <c r="U8" s="661"/>
      <c r="V8" s="1112"/>
      <c r="W8" s="1622"/>
      <c r="X8" s="1112"/>
      <c r="Y8" s="1622"/>
      <c r="Z8" s="2100"/>
      <c r="AA8" s="1825" t="s">
        <v>66</v>
      </c>
      <c r="AB8" s="2100"/>
      <c r="AC8" s="1825" t="s">
        <v>66</v>
      </c>
      <c r="AD8" s="2465" t="s">
        <v>66</v>
      </c>
      <c r="AE8" s="2600"/>
      <c r="AF8" s="2478">
        <v>1</v>
      </c>
      <c r="AG8" s="2623"/>
      <c r="AH8" s="2402" t="s">
        <v>66</v>
      </c>
      <c r="AI8" s="2600"/>
      <c r="AJ8" s="2478">
        <v>1</v>
      </c>
      <c r="AK8" s="2622" t="s">
        <v>24</v>
      </c>
      <c r="AL8" s="2402" t="s">
        <v>66</v>
      </c>
      <c r="AM8" s="2450"/>
      <c r="AN8" s="2478">
        <v>1</v>
      </c>
      <c r="AO8" s="2627"/>
      <c r="AP8" s="2628" t="s">
        <v>66</v>
      </c>
      <c r="AQ8" s="672"/>
      <c r="AR8" s="1829">
        <v>1</v>
      </c>
      <c r="AS8" s="1832" t="s">
        <v>24</v>
      </c>
      <c r="AT8" s="1112"/>
      <c r="AU8" s="1622"/>
      <c r="AV8" s="1112"/>
      <c r="AW8" s="1622"/>
      <c r="AX8" s="2100"/>
      <c r="AY8" s="1825" t="s">
        <v>66</v>
      </c>
      <c r="AZ8" s="2100"/>
      <c r="BA8" s="1825" t="s">
        <v>66</v>
      </c>
      <c r="BB8" s="1714"/>
      <c r="BC8" s="2557" t="s">
        <v>540</v>
      </c>
      <c r="BE8" s="861"/>
      <c r="BF8" s="861" t="str">
        <f>IF(T8="","",T8)</f>
        <v/>
      </c>
      <c r="BG8" s="861"/>
      <c r="BH8" s="861"/>
    </row>
    <row customHeight="1" ht="11.25" hidden="1">
      <c r="A9" s="1729"/>
      <c r="B9" s="1729"/>
      <c r="C9" s="1729"/>
      <c r="D9" s="1729"/>
      <c r="E9" s="2528"/>
      <c r="F9" s="2528"/>
      <c r="G9" s="2528"/>
      <c r="H9" s="2528"/>
      <c r="I9" s="2530"/>
      <c r="J9" s="2530"/>
      <c r="K9" s="2529"/>
      <c r="L9" s="1730"/>
      <c r="P9" s="2531"/>
      <c r="Q9" s="2531"/>
      <c r="R9" s="2607"/>
      <c r="S9" s="2605"/>
      <c r="T9" s="2625"/>
      <c r="U9" s="661"/>
      <c r="V9" s="1759"/>
      <c r="W9" s="1862"/>
      <c r="X9" s="1759"/>
      <c r="Y9" s="1862"/>
      <c r="Z9" s="1759"/>
      <c r="AA9" s="1759"/>
      <c r="AB9" s="1759"/>
      <c r="AC9" s="1759"/>
      <c r="AD9" s="2466"/>
      <c r="AE9" s="2600"/>
      <c r="AF9" s="2478"/>
      <c r="AG9" s="2623"/>
      <c r="AH9" s="2402"/>
      <c r="AI9" s="2600"/>
      <c r="AJ9" s="2478"/>
      <c r="AK9" s="2622"/>
      <c r="AL9" s="2402"/>
      <c r="AM9" s="2458"/>
      <c r="AN9" s="2478"/>
      <c r="AO9" s="2627"/>
      <c r="AP9" s="2629"/>
      <c r="AQ9" s="677"/>
      <c r="AR9" s="777"/>
      <c r="AS9" s="777" t="s">
        <v>541</v>
      </c>
      <c r="AT9" s="1759"/>
      <c r="AU9" s="1862"/>
      <c r="AV9" s="1759"/>
      <c r="AW9" s="1862"/>
      <c r="AX9" s="1759"/>
      <c r="AY9" s="1759"/>
      <c r="AZ9" s="1759"/>
      <c r="BA9" s="1759"/>
      <c r="BB9" s="1763"/>
      <c r="BC9" s="2558"/>
      <c r="BE9" s="861"/>
      <c r="BF9" s="861"/>
      <c r="BG9" s="861"/>
      <c r="BH9" s="861"/>
    </row>
    <row customHeight="1" ht="11.25" hidden="1">
      <c r="A10" s="1729"/>
      <c r="B10" s="1729"/>
      <c r="C10" s="1729"/>
      <c r="D10" s="1729"/>
      <c r="E10" s="2528"/>
      <c r="F10" s="2528"/>
      <c r="G10" s="2528"/>
      <c r="H10" s="2528"/>
      <c r="I10" s="2530"/>
      <c r="J10" s="2530"/>
      <c r="K10" s="2529"/>
      <c r="L10" s="1730"/>
      <c r="P10" s="2531"/>
      <c r="Q10" s="2531"/>
      <c r="R10" s="2607"/>
      <c r="S10" s="2605"/>
      <c r="T10" s="2625"/>
      <c r="U10" s="661"/>
      <c r="V10" s="1759"/>
      <c r="W10" s="1862"/>
      <c r="X10" s="1759"/>
      <c r="Y10" s="1862"/>
      <c r="Z10" s="1759"/>
      <c r="AA10" s="1759"/>
      <c r="AB10" s="1759"/>
      <c r="AC10" s="1759"/>
      <c r="AD10" s="2466"/>
      <c r="AE10" s="2600"/>
      <c r="AF10" s="2478"/>
      <c r="AG10" s="2623"/>
      <c r="AH10" s="2402"/>
      <c r="AI10" s="2600"/>
      <c r="AJ10" s="2478"/>
      <c r="AK10" s="2622"/>
      <c r="AL10" s="2402"/>
      <c r="AM10" s="677"/>
      <c r="AN10" s="1866"/>
      <c r="AO10" s="1866" t="s">
        <v>542</v>
      </c>
      <c r="AP10" s="777"/>
      <c r="AQ10" s="777"/>
      <c r="AR10" s="777"/>
      <c r="AS10" s="1759"/>
      <c r="AT10" s="1759"/>
      <c r="AU10" s="1862"/>
      <c r="AV10" s="1759"/>
      <c r="AW10" s="1862"/>
      <c r="AX10" s="1759"/>
      <c r="AY10" s="1759"/>
      <c r="AZ10" s="1759"/>
      <c r="BA10" s="1759"/>
      <c r="BB10" s="1763"/>
      <c r="BC10" s="2558"/>
      <c r="BE10" s="861"/>
      <c r="BF10" s="861"/>
      <c r="BG10" s="861"/>
      <c r="BH10" s="861"/>
    </row>
    <row customHeight="1" ht="11.25" hidden="1">
      <c r="A11" s="1729"/>
      <c r="B11" s="1729"/>
      <c r="C11" s="1729"/>
      <c r="D11" s="1729"/>
      <c r="E11" s="2528"/>
      <c r="F11" s="2528"/>
      <c r="G11" s="2528"/>
      <c r="H11" s="2528"/>
      <c r="I11" s="2530"/>
      <c r="J11" s="2530"/>
      <c r="K11" s="2529"/>
      <c r="L11" s="1730"/>
      <c r="P11" s="2531"/>
      <c r="Q11" s="2531"/>
      <c r="R11" s="2607"/>
      <c r="S11" s="2605"/>
      <c r="T11" s="2625"/>
      <c r="U11" s="661"/>
      <c r="V11" s="1759"/>
      <c r="W11" s="1862"/>
      <c r="X11" s="1759"/>
      <c r="Y11" s="1862"/>
      <c r="Z11" s="1759"/>
      <c r="AA11" s="1759"/>
      <c r="AB11" s="1759"/>
      <c r="AC11" s="1759"/>
      <c r="AD11" s="2466"/>
      <c r="AE11" s="2600"/>
      <c r="AF11" s="2478"/>
      <c r="AG11" s="2623"/>
      <c r="AH11" s="2402"/>
      <c r="AI11" s="655"/>
      <c r="AJ11" s="776"/>
      <c r="AK11" s="674" t="s">
        <v>543</v>
      </c>
      <c r="AL11" s="1759"/>
      <c r="AM11" s="1759"/>
      <c r="AN11" s="1759"/>
      <c r="AO11" s="1759"/>
      <c r="AP11" s="1759"/>
      <c r="AQ11" s="1759"/>
      <c r="AR11" s="1759"/>
      <c r="AS11" s="1759"/>
      <c r="AT11" s="1759"/>
      <c r="AU11" s="1862"/>
      <c r="AV11" s="1759"/>
      <c r="AW11" s="1862"/>
      <c r="AX11" s="1759"/>
      <c r="AY11" s="1759"/>
      <c r="AZ11" s="1759"/>
      <c r="BA11" s="1759"/>
      <c r="BB11" s="1763"/>
      <c r="BC11" s="2558"/>
      <c r="BE11" s="861"/>
      <c r="BF11" s="861"/>
      <c r="BG11" s="861"/>
      <c r="BH11" s="861"/>
    </row>
    <row customHeight="1" ht="11.25" hidden="1">
      <c r="A12" s="1729"/>
      <c r="B12" s="1729"/>
      <c r="C12" s="1729"/>
      <c r="D12" s="1729"/>
      <c r="E12" s="2528"/>
      <c r="F12" s="2528"/>
      <c r="G12" s="2528"/>
      <c r="H12" s="2528"/>
      <c r="I12" s="2530"/>
      <c r="J12" s="2530"/>
      <c r="K12" s="2529"/>
      <c r="L12" s="1730"/>
      <c r="P12" s="2531"/>
      <c r="Q12" s="2531"/>
      <c r="R12" s="2607"/>
      <c r="S12" s="2606"/>
      <c r="T12" s="2626"/>
      <c r="U12" s="661"/>
      <c r="V12" s="1759"/>
      <c r="W12" s="1760" t="str">
        <f>Z8&amp;"-"&amp;AB8</f>
        <v>-</v>
      </c>
      <c r="X12" s="1759"/>
      <c r="Y12" s="1760" t="str">
        <f>AB8&amp;"-"&amp;AD8</f>
        <v>-да</v>
      </c>
      <c r="Z12" s="1759"/>
      <c r="AA12" s="1759"/>
      <c r="AB12" s="1759"/>
      <c r="AC12" s="1759"/>
      <c r="AD12" s="2407"/>
      <c r="AE12" s="673"/>
      <c r="AF12" s="675"/>
      <c r="AG12" s="777" t="s">
        <v>544</v>
      </c>
      <c r="AH12" s="1759"/>
      <c r="AI12" s="1759"/>
      <c r="AJ12" s="1759"/>
      <c r="AK12" s="1759"/>
      <c r="AL12" s="1759"/>
      <c r="AM12" s="1759"/>
      <c r="AN12" s="1759"/>
      <c r="AO12" s="1759"/>
      <c r="AP12" s="1759"/>
      <c r="AQ12" s="1759"/>
      <c r="AR12" s="1759"/>
      <c r="AS12" s="1759"/>
      <c r="AT12" s="1759"/>
      <c r="AU12" s="1760" t="str">
        <f>AX8&amp;"-"&amp;AZ8</f>
        <v>-</v>
      </c>
      <c r="AV12" s="1759"/>
      <c r="AW12" s="1760" t="str">
        <f>AZ8&amp;"-"&amp;BB8</f>
        <v>-</v>
      </c>
      <c r="AX12" s="1759"/>
      <c r="AY12" s="1759"/>
      <c r="AZ12" s="1759"/>
      <c r="BA12" s="1759"/>
      <c r="BB12" s="1762" t="str">
        <f>BE8&amp;"-"&amp;BG8</f>
        <v>-</v>
      </c>
      <c r="BC12" s="2558"/>
      <c r="BE12" s="861"/>
      <c r="BF12" s="861" t="str">
        <f>IF(T12="","",T12)</f>
        <v/>
      </c>
      <c r="BG12" s="861"/>
      <c r="BH12" s="861"/>
    </row>
    <row customHeight="1" ht="11.25" hidden="1">
      <c r="A13" s="1729"/>
      <c r="B13" s="1729"/>
      <c r="C13" s="1729"/>
      <c r="D13" s="1729"/>
      <c r="E13" s="2528"/>
      <c r="F13" s="2528"/>
      <c r="G13" s="2528"/>
      <c r="H13" s="2528"/>
      <c r="I13" s="2530"/>
      <c r="J13" s="2529"/>
      <c r="K13" s="1729"/>
      <c r="L13" s="1730"/>
      <c r="P13" s="2531"/>
      <c r="Q13" s="2531"/>
      <c r="R13" s="717"/>
      <c r="S13" s="1644"/>
      <c r="T13" s="648" t="s">
        <v>506</v>
      </c>
      <c r="U13" s="728"/>
      <c r="V13" s="728"/>
      <c r="W13" s="728"/>
      <c r="X13" s="728"/>
      <c r="Y13" s="728"/>
      <c r="Z13" s="728"/>
      <c r="AA13" s="728"/>
      <c r="AB13" s="728"/>
      <c r="AC13" s="728"/>
      <c r="AD13" s="1871"/>
      <c r="AE13" s="728"/>
      <c r="AF13" s="728"/>
      <c r="AG13" s="728"/>
      <c r="AH13" s="728"/>
      <c r="AI13" s="728"/>
      <c r="AJ13" s="728"/>
      <c r="AK13" s="728"/>
      <c r="AL13" s="728"/>
      <c r="AM13" s="728"/>
      <c r="AN13" s="728"/>
      <c r="AO13" s="728"/>
      <c r="AP13" s="728"/>
      <c r="AQ13" s="728"/>
      <c r="AR13" s="728"/>
      <c r="AS13" s="728"/>
      <c r="AT13" s="728"/>
      <c r="AU13" s="728"/>
      <c r="AV13" s="728"/>
      <c r="AW13" s="728"/>
      <c r="AX13" s="728"/>
      <c r="AY13" s="728"/>
      <c r="AZ13" s="728"/>
      <c r="BA13" s="728"/>
      <c r="BB13" s="685"/>
      <c r="BC13" s="2559"/>
      <c r="BE13" s="861"/>
      <c r="BF13" s="861" t="str">
        <f>IF(T13="","",T13)</f>
        <v>Добавить строку</v>
      </c>
      <c r="BG13" s="861"/>
      <c r="BH13" s="861"/>
    </row>
    <row s="32289" customFormat="1" customHeight="1" ht="14.25" hidden="1">
      <c r="A14" s="1709"/>
      <c r="B14" s="1709"/>
      <c r="C14" s="1709"/>
      <c r="D14" s="1709"/>
      <c r="E14" s="2528"/>
      <c r="F14" s="2528"/>
      <c r="G14" s="2528"/>
      <c r="H14" s="2528"/>
      <c r="I14" s="2529"/>
      <c r="J14" s="1709"/>
      <c r="K14" s="1709"/>
      <c r="L14" s="1712"/>
      <c r="M14" s="871"/>
      <c r="N14" s="871"/>
      <c r="O14" s="871"/>
      <c r="P14" s="2531"/>
      <c r="Q14" s="1828"/>
      <c r="R14" s="717"/>
      <c r="S14" s="1752"/>
      <c r="T14" s="1753"/>
      <c r="U14" s="1754"/>
      <c r="V14" s="1754"/>
      <c r="W14" s="1754"/>
      <c r="X14" s="1754"/>
      <c r="Y14" s="1754"/>
      <c r="Z14" s="1754"/>
      <c r="AA14" s="1754"/>
      <c r="AB14" s="1754"/>
      <c r="AC14" s="1754"/>
      <c r="AD14" s="1754"/>
      <c r="AE14" s="1754"/>
      <c r="AF14" s="1754"/>
      <c r="AG14" s="1754"/>
      <c r="AH14" s="1754"/>
      <c r="AI14" s="1754"/>
      <c r="AJ14" s="1754"/>
      <c r="AK14" s="1754"/>
      <c r="AL14" s="1754"/>
      <c r="AM14" s="1754"/>
      <c r="AN14" s="1754"/>
      <c r="AO14" s="1754"/>
      <c r="AP14" s="1754"/>
      <c r="AQ14" s="1754"/>
      <c r="AR14" s="1754"/>
      <c r="AS14" s="1754"/>
      <c r="AT14" s="1754"/>
      <c r="AU14" s="1754"/>
      <c r="AV14" s="1754"/>
      <c r="AW14" s="1754"/>
      <c r="AX14" s="1754"/>
      <c r="AY14" s="1754"/>
      <c r="AZ14" s="1754"/>
      <c r="BA14" s="1754"/>
      <c r="BB14" s="1754"/>
      <c r="BC14" s="1755"/>
      <c r="BE14" s="861"/>
      <c r="BF14" s="861" t="str">
        <f>IF(T14="","",T14)</f>
        <v/>
      </c>
      <c r="BG14" s="861"/>
      <c r="BH14" s="861"/>
    </row>
    <row s="32289" customFormat="1" customHeight="1" ht="14.25" hidden="1">
      <c r="A15" s="1709"/>
      <c r="B15" s="1709"/>
      <c r="C15" s="1709"/>
      <c r="D15" s="1709"/>
      <c r="E15" s="2528"/>
      <c r="F15" s="2528"/>
      <c r="G15" s="2528"/>
      <c r="H15" s="2527"/>
      <c r="I15" s="1709"/>
      <c r="J15" s="1709"/>
      <c r="K15" s="1709"/>
      <c r="L15" s="1712"/>
      <c r="M15" s="1681"/>
      <c r="N15" s="1681"/>
      <c r="O15" s="879"/>
      <c r="P15" s="741"/>
      <c r="Q15" s="1710"/>
      <c r="R15" s="1767"/>
      <c r="S15" s="1752"/>
      <c r="T15" s="1753"/>
      <c r="U15" s="1754"/>
      <c r="V15" s="1754"/>
      <c r="W15" s="1754"/>
      <c r="X15" s="1754"/>
      <c r="Y15" s="1754"/>
      <c r="Z15" s="1754"/>
      <c r="AA15" s="1754"/>
      <c r="AB15" s="1754"/>
      <c r="AC15" s="1754"/>
      <c r="AD15" s="1754"/>
      <c r="AE15" s="1754"/>
      <c r="AF15" s="1754"/>
      <c r="AG15" s="1754"/>
      <c r="AH15" s="1754"/>
      <c r="AI15" s="1754"/>
      <c r="AJ15" s="1754"/>
      <c r="AK15" s="1754"/>
      <c r="AL15" s="1754"/>
      <c r="AM15" s="1754"/>
      <c r="AN15" s="1754"/>
      <c r="AO15" s="1754"/>
      <c r="AP15" s="1754"/>
      <c r="AQ15" s="1754"/>
      <c r="AR15" s="1754"/>
      <c r="AS15" s="1754"/>
      <c r="AT15" s="1754"/>
      <c r="AU15" s="1754"/>
      <c r="AV15" s="1754"/>
      <c r="AW15" s="1754"/>
      <c r="AX15" s="1754"/>
      <c r="AY15" s="1754"/>
      <c r="AZ15" s="1754"/>
      <c r="BA15" s="1754"/>
      <c r="BB15" s="1754"/>
      <c r="BC15" s="1755"/>
      <c r="BE15" s="861"/>
      <c r="BF15" s="861" t="str">
        <f>IF(T15="","",T15)</f>
        <v/>
      </c>
      <c r="BG15" s="861"/>
      <c r="BH15" s="861"/>
    </row>
    <row s="32198" customFormat="1" customHeight="1" ht="14.25" hidden="1">
      <c r="A16" s="1709"/>
      <c r="B16" s="1709"/>
      <c r="C16" s="1709"/>
      <c r="D16" s="1680"/>
      <c r="E16" s="2528"/>
      <c r="F16" s="2528"/>
      <c r="G16" s="2527"/>
      <c r="H16" s="1680"/>
      <c r="I16" s="1680"/>
      <c r="J16" s="1680"/>
      <c r="K16" s="1680"/>
      <c r="L16" s="1830"/>
      <c r="M16" s="1681"/>
      <c r="N16" s="1681"/>
      <c r="P16" s="1682"/>
      <c r="Q16" s="1683"/>
      <c r="R16" s="1682"/>
      <c r="S16" s="1688"/>
      <c r="T16" s="1691"/>
      <c r="U16" s="1690"/>
      <c r="V16" s="1690"/>
      <c r="W16" s="1690"/>
      <c r="X16" s="1690"/>
      <c r="Y16" s="1690"/>
      <c r="Z16" s="1690"/>
      <c r="AA16" s="1690"/>
      <c r="AB16" s="1690"/>
      <c r="AC16" s="1690"/>
      <c r="AD16" s="1690"/>
      <c r="AE16" s="1690"/>
      <c r="AF16" s="1690"/>
      <c r="AG16" s="1690"/>
      <c r="AH16" s="1690"/>
      <c r="AI16" s="1690"/>
      <c r="AJ16" s="1690"/>
      <c r="AK16" s="1690"/>
      <c r="AL16" s="1690"/>
      <c r="AM16" s="1690"/>
      <c r="AN16" s="1690"/>
      <c r="AO16" s="1690"/>
      <c r="AP16" s="1690"/>
      <c r="AQ16" s="1690"/>
      <c r="AR16" s="1690"/>
      <c r="AS16" s="1690"/>
      <c r="AT16" s="1690"/>
      <c r="AU16" s="1690"/>
      <c r="AV16" s="1690"/>
      <c r="AW16" s="1690"/>
      <c r="AX16" s="1690"/>
      <c r="AY16" s="1690"/>
      <c r="AZ16" s="1690"/>
      <c r="BA16" s="1690"/>
      <c r="BB16" s="1690"/>
      <c r="BC16" s="1690"/>
      <c r="BE16" s="1150"/>
      <c r="BF16" s="1150" t="str">
        <f>IF(T16="","",T16)</f>
        <v/>
      </c>
      <c r="BG16" s="1150"/>
      <c r="BH16" s="1150"/>
    </row>
    <row s="32198" customFormat="1" customHeight="1" ht="14.25" hidden="1">
      <c r="A17" s="1709"/>
      <c r="B17" s="1709"/>
      <c r="C17" s="1680"/>
      <c r="D17" s="1680"/>
      <c r="E17" s="2528"/>
      <c r="F17" s="2527"/>
      <c r="G17" s="1680"/>
      <c r="H17" s="1680"/>
      <c r="I17" s="1680"/>
      <c r="J17" s="1680"/>
      <c r="K17" s="1680"/>
      <c r="L17" s="1830"/>
      <c r="M17" s="1687"/>
      <c r="N17" s="1687"/>
      <c r="P17" s="1682"/>
      <c r="Q17" s="1683"/>
      <c r="R17" s="1682"/>
      <c r="S17" s="1688"/>
      <c r="T17" s="1691" t="s">
        <v>262</v>
      </c>
      <c r="U17" s="1690"/>
      <c r="V17" s="1690"/>
      <c r="W17" s="1690"/>
      <c r="X17" s="1690"/>
      <c r="Y17" s="1690"/>
      <c r="Z17" s="1690"/>
      <c r="AA17" s="1690"/>
      <c r="AB17" s="1690"/>
      <c r="AC17" s="1690"/>
      <c r="AD17" s="1690"/>
      <c r="AE17" s="1690"/>
      <c r="AF17" s="1690"/>
      <c r="AG17" s="1690"/>
      <c r="AH17" s="1690"/>
      <c r="AI17" s="1690"/>
      <c r="AJ17" s="1690"/>
      <c r="AK17" s="1690"/>
      <c r="AL17" s="1690"/>
      <c r="AM17" s="1690"/>
      <c r="AN17" s="1690"/>
      <c r="AO17" s="1690"/>
      <c r="AP17" s="1690"/>
      <c r="AQ17" s="1690"/>
      <c r="AR17" s="1690"/>
      <c r="AS17" s="1690"/>
      <c r="AT17" s="1690"/>
      <c r="AU17" s="1690"/>
      <c r="AV17" s="1690"/>
      <c r="AW17" s="1690"/>
      <c r="AX17" s="1690"/>
      <c r="AY17" s="1690"/>
      <c r="AZ17" s="1690"/>
      <c r="BA17" s="1690"/>
      <c r="BB17" s="1690"/>
      <c r="BC17" s="1690"/>
      <c r="BE17" s="1150"/>
      <c r="BF17" s="1150" t="str">
        <f>IF(T17="","",T17)</f>
        <v>Добавить централизованную систему для дифференциации</v>
      </c>
      <c r="BG17" s="1150"/>
      <c r="BH17" s="1150"/>
    </row>
    <row s="32289" customFormat="1" customHeight="1" ht="14.25" hidden="1">
      <c r="A18" s="1709"/>
      <c r="B18" s="1709"/>
      <c r="C18" s="1709"/>
      <c r="D18" s="1709"/>
      <c r="E18" s="2527"/>
      <c r="F18" s="1709"/>
      <c r="G18" s="1709"/>
      <c r="H18" s="1709"/>
      <c r="I18" s="1709"/>
      <c r="J18" s="1709"/>
      <c r="K18" s="1709"/>
      <c r="L18" s="1712"/>
      <c r="M18" s="1687"/>
      <c r="N18" s="1687"/>
      <c r="O18" s="879"/>
      <c r="P18" s="741"/>
      <c r="Q18" s="1710"/>
      <c r="R18" s="741"/>
      <c r="S18" s="1688"/>
      <c r="T18" s="1691" t="s">
        <v>270</v>
      </c>
      <c r="U18" s="1690"/>
      <c r="V18" s="1690"/>
      <c r="W18" s="1690"/>
      <c r="X18" s="1690"/>
      <c r="Y18" s="1690"/>
      <c r="Z18" s="1690"/>
      <c r="AA18" s="1690"/>
      <c r="AB18" s="1690"/>
      <c r="AC18" s="1690"/>
      <c r="AD18" s="1690"/>
      <c r="AE18" s="1690"/>
      <c r="AF18" s="1690"/>
      <c r="AG18" s="1690"/>
      <c r="AH18" s="1690"/>
      <c r="AI18" s="1690"/>
      <c r="AJ18" s="1690"/>
      <c r="AK18" s="1690"/>
      <c r="AL18" s="1690"/>
      <c r="AM18" s="1690"/>
      <c r="AN18" s="1690"/>
      <c r="AO18" s="1690"/>
      <c r="AP18" s="1690"/>
      <c r="AQ18" s="1690"/>
      <c r="AR18" s="1690"/>
      <c r="AS18" s="1690"/>
      <c r="AT18" s="1690"/>
      <c r="AU18" s="1690"/>
      <c r="AV18" s="1690"/>
      <c r="AW18" s="1690"/>
      <c r="AX18" s="1690"/>
      <c r="AY18" s="1690"/>
      <c r="AZ18" s="1690"/>
      <c r="BA18" s="1690"/>
      <c r="BB18" s="1690"/>
      <c r="BC18" s="1690"/>
      <c r="BE18" s="861"/>
      <c r="BF18" s="861" t="str">
        <f>IF(T18="","",T18)</f>
        <v>Добавить территорию для дифференциации</v>
      </c>
      <c r="BG18" s="861"/>
      <c r="BH18" s="861"/>
    </row>
    <row customHeight="1" ht="14.25" hidden="1">
      <c r="AC19" s="688"/>
      <c r="BA19" s="688"/>
    </row>
    <row customHeight="1" ht="14.25" hidden="1">
      <c r="AD20" s="1690" t="s">
        <v>56</v>
      </c>
      <c r="AE20" s="1867"/>
      <c r="AF20" s="909">
        <v>1</v>
      </c>
      <c r="AG20" s="1868"/>
      <c r="AH20" s="1690" t="s">
        <v>56</v>
      </c>
      <c r="AI20" s="1867"/>
      <c r="AJ20" s="909">
        <v>1</v>
      </c>
      <c r="AK20" s="1868"/>
      <c r="AL20" s="1690" t="s">
        <v>56</v>
      </c>
      <c r="AM20" s="1869"/>
      <c r="AN20" s="909">
        <v>1</v>
      </c>
      <c r="AO20" s="1870"/>
      <c r="AP20" s="1690" t="s">
        <v>56</v>
      </c>
      <c r="AQ20" s="1869"/>
      <c r="AR20" s="909">
        <v>1</v>
      </c>
      <c r="AS20" s="1870"/>
      <c r="AT20" s="686"/>
      <c r="AU20" s="745"/>
      <c r="AV20" s="686"/>
      <c r="AW20" s="745"/>
      <c r="AX20" s="2102"/>
      <c r="AY20" s="1826" t="s">
        <v>66</v>
      </c>
      <c r="AZ20" s="2102"/>
      <c r="BA20" s="1826" t="s">
        <v>66</v>
      </c>
    </row>
    <row customHeight="1" ht="14.25" hidden="1">
      <c r="BD21" s="857"/>
      <c r="BE21" s="857"/>
      <c r="BF21" s="857"/>
      <c r="BG21" s="857"/>
      <c r="BH21" s="857"/>
    </row>
    <row customHeight="1" ht="14.25" hidden="1">
      <c r="O22" s="1733" t="s">
        <v>456</v>
      </c>
      <c r="Z22" s="1711"/>
      <c r="AB22" s="1711"/>
      <c r="AC22" s="688"/>
      <c r="AX22" s="1711"/>
      <c r="AZ22" s="1711"/>
      <c r="BA22" s="688"/>
      <c r="BD22" s="857"/>
      <c r="BE22" s="857"/>
      <c r="BF22" s="857"/>
      <c r="BG22" s="857"/>
      <c r="BH22" s="857"/>
    </row>
    <row customHeight="1" ht="14.25" hidden="1">
      <c r="AC23" s="688"/>
      <c r="BA23" s="688"/>
      <c r="BD23" s="857"/>
      <c r="BE23" s="857"/>
      <c r="BF23" s="857"/>
      <c r="BG23" s="857"/>
      <c r="BH23" s="857"/>
    </row>
    <row s="32444" customFormat="1" customHeight="1" ht="14.25" hidden="1">
      <c r="M24" s="1874"/>
      <c r="N24" s="1874"/>
      <c r="O24" s="1875" t="s">
        <v>457</v>
      </c>
      <c r="P24" s="1874"/>
      <c r="Q24" s="1876"/>
      <c r="R24" s="1876"/>
      <c r="AA24" s="1873" t="s">
        <v>459</v>
      </c>
      <c r="AC24" s="1873" t="s">
        <v>460</v>
      </c>
      <c r="AD24" s="1873" t="s">
        <v>507</v>
      </c>
      <c r="AH24" s="1873" t="s">
        <v>507</v>
      </c>
      <c r="AK24" s="1873" t="s">
        <v>545</v>
      </c>
      <c r="AL24" s="1873" t="s">
        <v>507</v>
      </c>
      <c r="AP24" s="1873" t="s">
        <v>507</v>
      </c>
      <c r="AY24" s="1873" t="s">
        <v>459</v>
      </c>
      <c r="BA24" s="1873" t="s">
        <v>460</v>
      </c>
      <c r="BD24" s="1877"/>
      <c r="BE24" s="1877"/>
      <c r="BF24" s="1877"/>
      <c r="BG24" s="1877"/>
      <c r="BH24" s="1877"/>
    </row>
    <row customHeight="1" ht="14.25" hidden="1">
      <c r="O25" s="1730"/>
      <c r="BD25" s="857"/>
      <c r="BE25" s="857"/>
      <c r="BF25" s="857"/>
      <c r="BG25" s="857"/>
      <c r="BH25" s="857"/>
    </row>
    <row customHeight="1" ht="14.25" hidden="1">
      <c r="O26" s="1730"/>
      <c r="BD26" s="857"/>
      <c r="BE26" s="857"/>
      <c r="BF26" s="857"/>
      <c r="BG26" s="857"/>
      <c r="BH26" s="857"/>
    </row>
    <row customHeight="1" ht="14.25">
      <c r="Q27" s="652"/>
      <c r="R27" s="737"/>
      <c r="S27" s="1641"/>
      <c r="T27" s="724"/>
      <c r="U27" s="724"/>
      <c r="V27" s="870"/>
      <c r="W27" s="870"/>
      <c r="X27" s="870"/>
      <c r="Y27" s="870"/>
      <c r="Z27" s="870"/>
      <c r="AA27" s="870"/>
      <c r="AB27" s="870"/>
      <c r="AC27" s="870"/>
      <c r="AD27" s="870"/>
      <c r="AE27" s="870"/>
      <c r="AF27" s="870"/>
      <c r="AG27" s="870"/>
      <c r="AH27" s="870"/>
      <c r="AI27" s="870"/>
      <c r="AJ27" s="870"/>
      <c r="AK27" s="870"/>
      <c r="AL27" s="870"/>
      <c r="AM27" s="870"/>
      <c r="AN27" s="870"/>
      <c r="AO27" s="870"/>
      <c r="AP27" s="870"/>
      <c r="AQ27" s="870"/>
      <c r="AR27" s="870"/>
      <c r="AS27" s="870"/>
      <c r="AT27" s="870"/>
      <c r="AU27" s="870"/>
      <c r="AV27" s="870"/>
      <c r="AW27" s="870"/>
      <c r="AX27" s="870"/>
      <c r="AY27" s="870"/>
      <c r="AZ27" s="870"/>
      <c r="BA27" s="870"/>
    </row>
    <row customHeight="1" ht="14.25">
      <c r="Q28" s="652"/>
      <c r="R28" s="737"/>
      <c r="S28" s="256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560"/>
      <c r="U28" s="2560"/>
      <c r="V28" s="2560"/>
      <c r="W28" s="2560"/>
      <c r="X28" s="2560"/>
      <c r="Y28" s="2560"/>
      <c r="Z28" s="2560"/>
      <c r="AA28" s="2560"/>
      <c r="AB28" s="2560"/>
      <c r="AC28" s="2560"/>
      <c r="AD28" s="2560"/>
      <c r="AE28" s="2560"/>
      <c r="AF28" s="2560"/>
      <c r="AG28" s="2560"/>
      <c r="AH28" s="2560"/>
      <c r="AI28" s="2560"/>
      <c r="AJ28" s="2560"/>
      <c r="AK28" s="2560"/>
      <c r="AL28" s="2560"/>
      <c r="AM28" s="2560"/>
      <c r="AN28" s="2560"/>
      <c r="AO28" s="2560"/>
      <c r="AP28" s="2560"/>
      <c r="AQ28" s="2560"/>
      <c r="AR28" s="2560"/>
      <c r="AS28" s="2560"/>
      <c r="AT28" s="2560"/>
      <c r="AU28" s="2560"/>
      <c r="AV28" s="2560"/>
      <c r="AW28" s="2560"/>
      <c r="AX28" s="2560"/>
      <c r="AY28" s="2560"/>
      <c r="AZ28" s="2560"/>
      <c r="BA28" s="1608"/>
    </row>
    <row customHeight="1" ht="14.25">
      <c r="Q29" s="652"/>
      <c r="R29" s="737"/>
      <c r="S29" s="2561" t="str">
        <f>IF(org=0,"Не определено",org)</f>
        <v>АО "Мурманэнергосбыт"</v>
      </c>
      <c r="T29" s="2561"/>
      <c r="U29" s="2561"/>
      <c r="V29" s="2561"/>
      <c r="W29" s="2561"/>
      <c r="X29" s="2561"/>
      <c r="Y29" s="2561"/>
      <c r="Z29" s="2561"/>
      <c r="AA29" s="2561"/>
      <c r="AB29" s="2561"/>
      <c r="AC29" s="2561"/>
      <c r="AD29" s="2561"/>
      <c r="AE29" s="2561"/>
      <c r="AF29" s="2561"/>
      <c r="AG29" s="2561"/>
      <c r="AH29" s="2561"/>
      <c r="AI29" s="2561"/>
      <c r="AJ29" s="2561"/>
      <c r="AK29" s="2561"/>
      <c r="AL29" s="2561"/>
      <c r="AM29" s="2561"/>
      <c r="AN29" s="2561"/>
      <c r="AO29" s="2561"/>
      <c r="AP29" s="2561"/>
      <c r="AQ29" s="2561"/>
      <c r="AR29" s="2561"/>
      <c r="AS29" s="2561"/>
      <c r="AT29" s="2561"/>
      <c r="AU29" s="2561"/>
      <c r="AV29" s="2561"/>
      <c r="AW29" s="2561"/>
      <c r="AX29" s="2561"/>
      <c r="AY29" s="2561"/>
      <c r="AZ29" s="2561"/>
      <c r="BA29" s="1608"/>
    </row>
    <row customHeight="1" ht="14.25">
      <c r="Q30" s="652"/>
      <c r="R30" s="737"/>
      <c r="S30" s="1641"/>
      <c r="T30" s="724"/>
      <c r="U30" s="724"/>
      <c r="V30" s="683"/>
      <c r="W30" s="683"/>
      <c r="X30" s="683"/>
      <c r="Y30" s="683"/>
      <c r="Z30" s="683"/>
      <c r="AA30" s="683"/>
      <c r="AB30" s="683"/>
      <c r="AC30" s="683"/>
      <c r="AD30" s="683"/>
      <c r="AE30" s="683"/>
      <c r="AF30" s="683"/>
      <c r="AG30" s="683"/>
      <c r="AH30" s="683"/>
      <c r="AI30" s="683"/>
      <c r="AJ30" s="683"/>
      <c r="AK30" s="683"/>
      <c r="AL30" s="683"/>
      <c r="AM30" s="683"/>
      <c r="AN30" s="683"/>
      <c r="AO30" s="683"/>
      <c r="AP30" s="683"/>
      <c r="AQ30" s="683"/>
      <c r="AR30" s="683"/>
      <c r="AS30" s="683"/>
      <c r="AT30" s="683"/>
      <c r="AU30" s="683"/>
      <c r="AV30" s="683"/>
      <c r="AW30" s="683"/>
      <c r="AX30" s="683"/>
      <c r="AY30" s="683"/>
      <c r="AZ30" s="683"/>
      <c r="BA30" s="683"/>
      <c r="BB30" s="870"/>
    </row>
    <row s="32230" customFormat="1" customHeight="1" ht="25.5">
      <c r="A31" s="1734"/>
      <c r="B31" s="1734"/>
      <c r="C31" s="1734"/>
      <c r="D31" s="1734"/>
      <c r="E31" s="1734"/>
      <c r="F31" s="1734"/>
      <c r="G31" s="1734"/>
      <c r="H31" s="1734"/>
      <c r="I31" s="1734"/>
      <c r="J31" s="1734"/>
      <c r="K31" s="1734"/>
      <c r="L31" s="1735"/>
      <c r="M31" s="1734"/>
      <c r="N31" s="1734"/>
      <c r="O31" s="1734"/>
      <c r="P31" s="1734"/>
      <c r="Q31" s="1734"/>
      <c r="S31" s="2518" t="s">
        <v>38</v>
      </c>
      <c r="T31" s="2518"/>
      <c r="U31" s="1738"/>
      <c r="V31" s="2520" t="str">
        <f>IF(TITLE_NAME_OR_PR_CHANGE="",IF(TITLE_NAME_OR_PR="","",TITLE_NAME_OR_PR),TITLE_NAME_OR_PR_CHANGE)</f>
        <v>Комитет по тарифному регулированию Мурманской области</v>
      </c>
      <c r="W31" s="2520"/>
      <c r="X31" s="2520"/>
      <c r="Y31" s="2520"/>
      <c r="Z31" s="2520"/>
      <c r="AA31" s="2520"/>
      <c r="AB31" s="2520"/>
      <c r="AC31" s="687"/>
      <c r="AD31" s="2520" t="str">
        <f>IF(TITLE_NAME_OR_PR_CHANGE="",IF(TITLE_NAME_OR_PR="","",TITLE_NAME_OR_PR),TITLE_NAME_OR_PR_CHANGE)</f>
        <v>Комитет по тарифному регулированию Мурманской области</v>
      </c>
      <c r="AE31" s="2520"/>
      <c r="AF31" s="2520"/>
      <c r="AG31" s="2520"/>
      <c r="AH31" s="2520"/>
      <c r="AI31" s="2520"/>
      <c r="AJ31" s="2520"/>
      <c r="AK31" s="2520"/>
      <c r="AL31" s="2520"/>
      <c r="AM31" s="2520"/>
      <c r="AN31" s="2520"/>
      <c r="AO31" s="2520"/>
      <c r="AP31" s="2520"/>
      <c r="AQ31" s="2520"/>
      <c r="AR31" s="2520"/>
      <c r="AS31" s="2520"/>
      <c r="AT31" s="2520"/>
      <c r="AU31" s="2520"/>
      <c r="AV31" s="2520"/>
      <c r="AW31" s="2520"/>
      <c r="AX31" s="2520"/>
      <c r="AY31" s="2520"/>
      <c r="AZ31" s="2520"/>
      <c r="BA31" s="687"/>
      <c r="BB31" s="687"/>
      <c r="BC31" s="641"/>
      <c r="BD31" s="729"/>
      <c r="BE31" s="729"/>
      <c r="BF31" s="729"/>
      <c r="BG31" s="729"/>
      <c r="BH31" s="729"/>
    </row>
    <row s="32230" customFormat="1" customHeight="1" ht="18.75">
      <c r="A32" s="1734"/>
      <c r="B32" s="1734"/>
      <c r="C32" s="1734"/>
      <c r="D32" s="1734"/>
      <c r="E32" s="1734"/>
      <c r="F32" s="1734"/>
      <c r="G32" s="1734"/>
      <c r="H32" s="1734"/>
      <c r="I32" s="1734"/>
      <c r="J32" s="1734"/>
      <c r="K32" s="1734"/>
      <c r="L32" s="1735"/>
      <c r="M32" s="1734"/>
      <c r="N32" s="1734"/>
      <c r="O32" s="1734"/>
      <c r="P32" s="1734"/>
      <c r="Q32" s="1734"/>
      <c r="S32" s="2518" t="s">
        <v>462</v>
      </c>
      <c r="T32" s="2518"/>
      <c r="U32" s="1738"/>
      <c r="V32" s="2519" t="str">
        <f>IF(TITLE_DATE_PR_CHANGE="",IF(TITLE_DATE_PR="","",TITLE_DATE_PR),TITLE_DATE_PR_CHANGE)</f>
        <v>45280</v>
      </c>
      <c r="W32" s="2519"/>
      <c r="X32" s="2519"/>
      <c r="Y32" s="2519"/>
      <c r="Z32" s="2519"/>
      <c r="AA32" s="2519"/>
      <c r="AB32" s="2519"/>
      <c r="AC32" s="687"/>
      <c r="AD32" s="2519" t="str">
        <f>IF(TITLE_DATE_PR_CHANGE="",IF(TITLE_DATE_PR="","",TITLE_DATE_PR),TITLE_DATE_PR_CHANGE)</f>
        <v>45280</v>
      </c>
      <c r="AE32" s="2519"/>
      <c r="AF32" s="2519"/>
      <c r="AG32" s="2519"/>
      <c r="AH32" s="2519"/>
      <c r="AI32" s="2519"/>
      <c r="AJ32" s="2519"/>
      <c r="AK32" s="2519"/>
      <c r="AL32" s="2519"/>
      <c r="AM32" s="2519"/>
      <c r="AN32" s="2519"/>
      <c r="AO32" s="2519"/>
      <c r="AP32" s="2519"/>
      <c r="AQ32" s="2519"/>
      <c r="AR32" s="2519"/>
      <c r="AS32" s="2519"/>
      <c r="AT32" s="2519"/>
      <c r="AU32" s="2519"/>
      <c r="AV32" s="2519"/>
      <c r="AW32" s="2519"/>
      <c r="AX32" s="2519"/>
      <c r="AY32" s="2519"/>
      <c r="AZ32" s="2519"/>
      <c r="BA32" s="687"/>
      <c r="BB32" s="687"/>
      <c r="BC32" s="641"/>
      <c r="BD32" s="729"/>
      <c r="BE32" s="729"/>
      <c r="BF32" s="729"/>
      <c r="BG32" s="729"/>
      <c r="BH32" s="729"/>
    </row>
    <row s="32230" customFormat="1" customHeight="1" ht="18.75">
      <c r="A33" s="1734"/>
      <c r="B33" s="1734"/>
      <c r="C33" s="1734"/>
      <c r="D33" s="1734"/>
      <c r="E33" s="1734"/>
      <c r="F33" s="1734"/>
      <c r="G33" s="1734"/>
      <c r="H33" s="1734"/>
      <c r="I33" s="1734"/>
      <c r="J33" s="1734"/>
      <c r="K33" s="1734"/>
      <c r="L33" s="1735"/>
      <c r="M33" s="1734"/>
      <c r="N33" s="1734"/>
      <c r="O33" s="1734"/>
      <c r="P33" s="1734"/>
      <c r="Q33" s="1734"/>
      <c r="S33" s="2518" t="s">
        <v>463</v>
      </c>
      <c r="T33" s="2518"/>
      <c r="U33" s="1738"/>
      <c r="V33" s="2520" t="str">
        <f>IF(TITLE_NUMBER_PR_CHANGE="",IF(TITLE_NUMBER_PR="","",TITLE_NUMBER_PR),TITLE_NUMBER_PR_CHANGE)</f>
        <v>51/16</v>
      </c>
      <c r="W33" s="2520"/>
      <c r="X33" s="2520"/>
      <c r="Y33" s="2520"/>
      <c r="Z33" s="2520"/>
      <c r="AA33" s="2520"/>
      <c r="AB33" s="2520"/>
      <c r="AC33" s="687"/>
      <c r="AD33" s="2520" t="str">
        <f>IF(TITLE_NUMBER_PR_CHANGE="",IF(TITLE_NUMBER_PR="","",TITLE_NUMBER_PR),TITLE_NUMBER_PR_CHANGE)</f>
        <v>51/16</v>
      </c>
      <c r="AE33" s="2520"/>
      <c r="AF33" s="2520"/>
      <c r="AG33" s="2520"/>
      <c r="AH33" s="2520"/>
      <c r="AI33" s="2520"/>
      <c r="AJ33" s="2520"/>
      <c r="AK33" s="2520"/>
      <c r="AL33" s="2520"/>
      <c r="AM33" s="2520"/>
      <c r="AN33" s="2520"/>
      <c r="AO33" s="2520"/>
      <c r="AP33" s="2520"/>
      <c r="AQ33" s="2520"/>
      <c r="AR33" s="2520"/>
      <c r="AS33" s="2520"/>
      <c r="AT33" s="2520"/>
      <c r="AU33" s="2520"/>
      <c r="AV33" s="2520"/>
      <c r="AW33" s="2520"/>
      <c r="AX33" s="2520"/>
      <c r="AY33" s="2520"/>
      <c r="AZ33" s="2520"/>
      <c r="BA33" s="687"/>
      <c r="BB33" s="687"/>
      <c r="BC33" s="641"/>
      <c r="BD33" s="729"/>
      <c r="BE33" s="729"/>
      <c r="BF33" s="729"/>
      <c r="BG33" s="729"/>
      <c r="BH33" s="729"/>
    </row>
    <row s="32230" customFormat="1" customHeight="1" ht="18.75">
      <c r="A34" s="1734"/>
      <c r="B34" s="1734"/>
      <c r="C34" s="1734"/>
      <c r="D34" s="1734"/>
      <c r="E34" s="1734"/>
      <c r="F34" s="1734"/>
      <c r="G34" s="1734"/>
      <c r="H34" s="1734"/>
      <c r="I34" s="1734"/>
      <c r="J34" s="1734"/>
      <c r="K34" s="1734"/>
      <c r="L34" s="1735"/>
      <c r="M34" s="1734"/>
      <c r="N34" s="1734"/>
      <c r="O34" s="1734"/>
      <c r="P34" s="1734"/>
      <c r="Q34" s="1734"/>
      <c r="S34" s="2518" t="s">
        <v>40</v>
      </c>
      <c r="T34" s="2518"/>
      <c r="U34" s="1738"/>
      <c r="V34" s="2520" t="str">
        <f>IF(TITLE_IST_PUB_CHANGE="",IF(TITLE_IST_PUB="","",TITLE_IST_PUB),TITLE_IST_PUB_CHANGE)</f>
        <v>https://npa.gov-murman.ru/bitrix/components/b1team/govmurman.element.file/download.php?ID=508455&amp;FID=750728</v>
      </c>
      <c r="W34" s="2520"/>
      <c r="X34" s="2520"/>
      <c r="Y34" s="2520"/>
      <c r="Z34" s="2520"/>
      <c r="AA34" s="2520"/>
      <c r="AB34" s="2520"/>
      <c r="AC34" s="687"/>
      <c r="AD34" s="2520" t="str">
        <f>IF(TITLE_IST_PUB_CHANGE="",IF(TITLE_IST_PUB="","",TITLE_IST_PUB),TITLE_IST_PUB_CHANGE)</f>
        <v>https://npa.gov-murman.ru/bitrix/components/b1team/govmurman.element.file/download.php?ID=508455&amp;FID=750728</v>
      </c>
      <c r="AE34" s="2520"/>
      <c r="AF34" s="2520"/>
      <c r="AG34" s="2520"/>
      <c r="AH34" s="2520"/>
      <c r="AI34" s="2520"/>
      <c r="AJ34" s="2520"/>
      <c r="AK34" s="2520"/>
      <c r="AL34" s="2520"/>
      <c r="AM34" s="2520"/>
      <c r="AN34" s="2520"/>
      <c r="AO34" s="2520"/>
      <c r="AP34" s="2520"/>
      <c r="AQ34" s="2520"/>
      <c r="AR34" s="2520"/>
      <c r="AS34" s="2520"/>
      <c r="AT34" s="2520"/>
      <c r="AU34" s="2520"/>
      <c r="AV34" s="2520"/>
      <c r="AW34" s="2520"/>
      <c r="AX34" s="2520"/>
      <c r="AY34" s="2520"/>
      <c r="AZ34" s="2520"/>
      <c r="BA34" s="687"/>
      <c r="BB34" s="687"/>
      <c r="BC34" s="641"/>
      <c r="BD34" s="729"/>
      <c r="BE34" s="729"/>
      <c r="BF34" s="729"/>
      <c r="BG34" s="729"/>
      <c r="BH34" s="729"/>
    </row>
    <row customHeight="1" ht="14.25" hidden="1">
      <c r="Q35" s="652"/>
      <c r="R35" s="737"/>
      <c r="S35" s="1641"/>
      <c r="T35" s="724"/>
      <c r="U35" s="724"/>
      <c r="V35" s="683"/>
      <c r="W35" s="683"/>
      <c r="X35" s="683"/>
      <c r="Y35" s="683"/>
      <c r="Z35" s="683"/>
      <c r="AA35" s="683"/>
      <c r="AB35" s="683"/>
      <c r="AC35" s="683"/>
      <c r="AD35" s="683"/>
      <c r="AE35" s="683"/>
      <c r="AF35" s="683"/>
      <c r="AG35" s="683"/>
      <c r="AH35" s="683"/>
      <c r="AI35" s="683"/>
      <c r="AJ35" s="683"/>
      <c r="AK35" s="683"/>
      <c r="AL35" s="683"/>
      <c r="AM35" s="683"/>
      <c r="AN35" s="683"/>
      <c r="AO35" s="683"/>
      <c r="AP35" s="683"/>
      <c r="AQ35" s="683"/>
      <c r="AR35" s="683"/>
      <c r="AS35" s="683"/>
      <c r="AT35" s="683"/>
      <c r="AU35" s="683"/>
      <c r="AV35" s="683"/>
      <c r="AW35" s="683"/>
      <c r="AX35" s="683"/>
      <c r="AY35" s="683"/>
      <c r="AZ35" s="683"/>
      <c r="BA35" s="683"/>
      <c r="BB35" s="870"/>
    </row>
    <row s="32230" customFormat="1" customHeight="1" ht="18.75" hidden="1">
      <c r="A36" s="1734"/>
      <c r="B36" s="1734"/>
      <c r="C36" s="1734"/>
      <c r="D36" s="1734"/>
      <c r="E36" s="1734"/>
      <c r="F36" s="1734"/>
      <c r="G36" s="1734"/>
      <c r="H36" s="1734"/>
      <c r="I36" s="1734"/>
      <c r="J36" s="1734"/>
      <c r="K36" s="1734"/>
      <c r="L36" s="1735"/>
      <c r="M36" s="1734"/>
      <c r="N36" s="1734"/>
      <c r="O36" s="1734"/>
      <c r="P36" s="1734"/>
      <c r="Q36" s="1734"/>
      <c r="S36" s="2518" t="s">
        <v>462</v>
      </c>
      <c r="T36" s="2518"/>
      <c r="U36" s="1738"/>
      <c r="V36" s="2519" t="str">
        <f>IF(TITLE_DATE_PR_CHANGE="",IF(TITLE_DATE_PR="","",TITLE_DATE_PR),TITLE_DATE_PR_CHANGE)</f>
        <v>45280</v>
      </c>
      <c r="W36" s="2519"/>
      <c r="X36" s="2519"/>
      <c r="Y36" s="2519"/>
      <c r="Z36" s="2519"/>
      <c r="AA36" s="2519"/>
      <c r="AB36" s="2519"/>
      <c r="AC36" s="687"/>
      <c r="AD36" s="2519" t="str">
        <f>IF(TITLE_DATE_PR_CHANGE="",IF(TITLE_DATE_PR="","",TITLE_DATE_PR),TITLE_DATE_PR_CHANGE)</f>
        <v>45280</v>
      </c>
      <c r="AE36" s="2519"/>
      <c r="AF36" s="2519"/>
      <c r="AG36" s="2519"/>
      <c r="AH36" s="2519"/>
      <c r="AI36" s="2519"/>
      <c r="AJ36" s="2519"/>
      <c r="AK36" s="2519"/>
      <c r="AL36" s="2519"/>
      <c r="AM36" s="2519"/>
      <c r="AN36" s="2519"/>
      <c r="AO36" s="2519"/>
      <c r="AP36" s="2519"/>
      <c r="AQ36" s="2519"/>
      <c r="AR36" s="2519"/>
      <c r="AS36" s="2519"/>
      <c r="AT36" s="2519"/>
      <c r="AU36" s="2519"/>
      <c r="AV36" s="2519"/>
      <c r="AW36" s="2519"/>
      <c r="AX36" s="2519"/>
      <c r="AY36" s="2519"/>
      <c r="AZ36" s="2519"/>
      <c r="BA36" s="687"/>
      <c r="BB36" s="687"/>
      <c r="BC36" s="641"/>
      <c r="BD36" s="729"/>
      <c r="BE36" s="729"/>
      <c r="BF36" s="729"/>
      <c r="BG36" s="729"/>
      <c r="BH36" s="729"/>
    </row>
    <row s="32230" customFormat="1" customHeight="1" ht="18.75" hidden="1">
      <c r="A37" s="1734"/>
      <c r="B37" s="1734"/>
      <c r="C37" s="1734"/>
      <c r="D37" s="1734"/>
      <c r="E37" s="1734"/>
      <c r="F37" s="1734"/>
      <c r="G37" s="1734"/>
      <c r="H37" s="1734"/>
      <c r="I37" s="1734"/>
      <c r="J37" s="1734"/>
      <c r="K37" s="1734"/>
      <c r="L37" s="1735"/>
      <c r="M37" s="1734"/>
      <c r="N37" s="1734"/>
      <c r="O37" s="1734"/>
      <c r="P37" s="1734"/>
      <c r="Q37" s="1734"/>
      <c r="S37" s="2518" t="s">
        <v>463</v>
      </c>
      <c r="T37" s="2518"/>
      <c r="U37" s="1738"/>
      <c r="V37" s="2520" t="str">
        <f>IF(TITLE_NUMBER_PR_CHANGE="",IF(TITLE_NUMBER_PR="","",TITLE_NUMBER_PR),TITLE_NUMBER_PR_CHANGE)</f>
        <v>51/16</v>
      </c>
      <c r="W37" s="2520"/>
      <c r="X37" s="2520"/>
      <c r="Y37" s="2520"/>
      <c r="Z37" s="2520"/>
      <c r="AA37" s="2520"/>
      <c r="AB37" s="2520"/>
      <c r="AC37" s="687"/>
      <c r="AD37" s="2520" t="str">
        <f>IF(TITLE_NUMBER_PR_CHANGE="",IF(TITLE_NUMBER_PR="","",TITLE_NUMBER_PR),TITLE_NUMBER_PR_CHANGE)</f>
        <v>51/16</v>
      </c>
      <c r="AE37" s="2520"/>
      <c r="AF37" s="2520"/>
      <c r="AG37" s="2520"/>
      <c r="AH37" s="2520"/>
      <c r="AI37" s="2520"/>
      <c r="AJ37" s="2520"/>
      <c r="AK37" s="2520"/>
      <c r="AL37" s="2520"/>
      <c r="AM37" s="2520"/>
      <c r="AN37" s="2520"/>
      <c r="AO37" s="2520"/>
      <c r="AP37" s="2520"/>
      <c r="AQ37" s="2520"/>
      <c r="AR37" s="2520"/>
      <c r="AS37" s="2520"/>
      <c r="AT37" s="2520"/>
      <c r="AU37" s="2520"/>
      <c r="AV37" s="2520"/>
      <c r="AW37" s="2520"/>
      <c r="AX37" s="2520"/>
      <c r="AY37" s="2520"/>
      <c r="AZ37" s="2520"/>
      <c r="BA37" s="687"/>
      <c r="BB37" s="687"/>
      <c r="BC37" s="641"/>
      <c r="BD37" s="729"/>
      <c r="BE37" s="729"/>
      <c r="BF37" s="729"/>
      <c r="BG37" s="729"/>
      <c r="BH37" s="729"/>
    </row>
    <row s="32230" customFormat="1" customHeight="1" ht="0">
      <c r="A38" s="1734"/>
      <c r="B38" s="1734"/>
      <c r="C38" s="1734"/>
      <c r="D38" s="1734"/>
      <c r="E38" s="1734"/>
      <c r="F38" s="1734"/>
      <c r="G38" s="1734"/>
      <c r="H38" s="1734"/>
      <c r="I38" s="1734"/>
      <c r="J38" s="1734"/>
      <c r="K38" s="1734"/>
      <c r="L38" s="1735"/>
      <c r="M38" s="1734"/>
      <c r="N38" s="1734"/>
      <c r="O38" s="1734"/>
      <c r="P38" s="1734"/>
      <c r="Q38" s="1734"/>
      <c r="S38" s="684"/>
      <c r="T38" s="684"/>
      <c r="U38" s="1820"/>
      <c r="V38" s="687"/>
      <c r="W38" s="687"/>
      <c r="X38" s="687"/>
      <c r="Y38" s="687"/>
      <c r="Z38" s="687"/>
      <c r="AA38" s="687"/>
      <c r="AB38" s="687"/>
      <c r="AC38" s="639" t="s">
        <v>466</v>
      </c>
      <c r="AD38" s="687"/>
      <c r="AE38" s="687"/>
      <c r="AF38" s="687"/>
      <c r="AG38" s="687"/>
      <c r="AH38" s="687"/>
      <c r="AI38" s="687"/>
      <c r="AJ38" s="687"/>
      <c r="AK38" s="687"/>
      <c r="AL38" s="687"/>
      <c r="AM38" s="687"/>
      <c r="AN38" s="687"/>
      <c r="AO38" s="687"/>
      <c r="AP38" s="687"/>
      <c r="AQ38" s="687"/>
      <c r="AR38" s="687"/>
      <c r="AS38" s="687"/>
      <c r="AT38" s="687"/>
      <c r="AU38" s="687"/>
      <c r="AV38" s="687"/>
      <c r="AW38" s="687"/>
      <c r="AX38" s="687"/>
      <c r="AY38" s="687"/>
      <c r="AZ38" s="687"/>
      <c r="BA38" s="639" t="s">
        <v>466</v>
      </c>
      <c r="BD38" s="729"/>
      <c r="BE38" s="729"/>
      <c r="BF38" s="729"/>
      <c r="BG38" s="729"/>
      <c r="BH38" s="729"/>
    </row>
    <row customHeight="1" ht="14.25">
      <c r="Q39" s="652"/>
      <c r="R39" s="737"/>
      <c r="S39" s="1641"/>
      <c r="T39" s="724"/>
      <c r="U39" s="1609"/>
      <c r="V39" s="2544"/>
      <c r="W39" s="2544"/>
      <c r="X39" s="2544"/>
      <c r="Y39" s="2544"/>
      <c r="Z39" s="2544"/>
      <c r="AA39" s="2544"/>
      <c r="AB39" s="2544"/>
      <c r="AC39" s="2544"/>
      <c r="AD39" s="2544"/>
      <c r="AE39" s="2544"/>
      <c r="AF39" s="2544"/>
      <c r="AG39" s="2544"/>
      <c r="AH39" s="2544"/>
      <c r="AI39" s="2544"/>
      <c r="AJ39" s="2544"/>
      <c r="AK39" s="2544"/>
      <c r="AL39" s="2544"/>
      <c r="AM39" s="2544"/>
      <c r="AN39" s="2544"/>
      <c r="AO39" s="2544"/>
      <c r="AP39" s="2544"/>
      <c r="AQ39" s="2544"/>
      <c r="AR39" s="2544"/>
      <c r="AS39" s="2544"/>
      <c r="AT39" s="2544"/>
      <c r="AU39" s="2544"/>
      <c r="AV39" s="2544"/>
      <c r="AW39" s="2544"/>
      <c r="AX39" s="2544"/>
      <c r="AY39" s="2544"/>
      <c r="AZ39" s="2544"/>
      <c r="BA39" s="2544"/>
    </row>
    <row customHeight="1" ht="14.25">
      <c r="Q40" s="652"/>
      <c r="R40" s="737"/>
      <c r="S40" s="2392" t="s">
        <v>341</v>
      </c>
      <c r="T40" s="2392"/>
      <c r="U40" s="2392"/>
      <c r="V40" s="2392"/>
      <c r="W40" s="2392"/>
      <c r="X40" s="2392"/>
      <c r="Y40" s="2392"/>
      <c r="Z40" s="2392"/>
      <c r="AA40" s="2392"/>
      <c r="AB40" s="2392"/>
      <c r="AC40" s="2392"/>
      <c r="AD40" s="2392"/>
      <c r="AE40" s="2392"/>
      <c r="AF40" s="2392"/>
      <c r="AG40" s="2392"/>
      <c r="AH40" s="2392"/>
      <c r="AI40" s="2392"/>
      <c r="AJ40" s="2392"/>
      <c r="AK40" s="2392"/>
      <c r="AL40" s="2392"/>
      <c r="AM40" s="2392"/>
      <c r="AN40" s="2392"/>
      <c r="AO40" s="2392"/>
      <c r="AP40" s="2392"/>
      <c r="AQ40" s="2392"/>
      <c r="AR40" s="2392"/>
      <c r="AS40" s="2392"/>
      <c r="AT40" s="2392"/>
      <c r="AU40" s="2392"/>
      <c r="AV40" s="2392"/>
      <c r="AW40" s="2392"/>
      <c r="AX40" s="2392"/>
      <c r="AY40" s="2392"/>
      <c r="AZ40" s="2392"/>
      <c r="BA40" s="2392"/>
      <c r="BB40" s="2392"/>
      <c r="BC40" s="2392" t="s">
        <v>342</v>
      </c>
    </row>
    <row customHeight="1" ht="14.25">
      <c r="Q41" s="652"/>
      <c r="R41" s="737"/>
      <c r="S41" s="2545" t="s">
        <v>87</v>
      </c>
      <c r="T41" s="2482" t="s">
        <v>546</v>
      </c>
      <c r="U41" s="662"/>
      <c r="V41" s="2546" t="s">
        <v>468</v>
      </c>
      <c r="W41" s="2547"/>
      <c r="X41" s="2547"/>
      <c r="Y41" s="2547"/>
      <c r="Z41" s="2547"/>
      <c r="AA41" s="2547"/>
      <c r="AB41" s="2548"/>
      <c r="AC41" s="2549" t="s">
        <v>469</v>
      </c>
      <c r="AD41" s="2593" t="s">
        <v>547</v>
      </c>
      <c r="AE41" s="2568"/>
      <c r="AF41" s="2568"/>
      <c r="AG41" s="2594"/>
      <c r="AH41" s="2593" t="s">
        <v>548</v>
      </c>
      <c r="AI41" s="2568"/>
      <c r="AJ41" s="2568"/>
      <c r="AK41" s="2594"/>
      <c r="AL41" s="2593" t="s">
        <v>549</v>
      </c>
      <c r="AM41" s="2568"/>
      <c r="AN41" s="2568"/>
      <c r="AO41" s="2594"/>
      <c r="AP41" s="2593" t="s">
        <v>550</v>
      </c>
      <c r="AQ41" s="2568"/>
      <c r="AR41" s="2568"/>
      <c r="AS41" s="2594"/>
      <c r="AT41" s="2546" t="s">
        <v>468</v>
      </c>
      <c r="AU41" s="2547"/>
      <c r="AV41" s="2547"/>
      <c r="AW41" s="2547"/>
      <c r="AX41" s="2547"/>
      <c r="AY41" s="2547"/>
      <c r="AZ41" s="2548"/>
      <c r="BA41" s="2549" t="s">
        <v>469</v>
      </c>
      <c r="BB41" s="2552" t="s">
        <v>471</v>
      </c>
      <c r="BC41" s="2392"/>
    </row>
    <row customHeight="1" ht="33.75">
      <c r="Q42" s="652"/>
      <c r="R42" s="737"/>
      <c r="S42" s="2545"/>
      <c r="T42" s="2482"/>
      <c r="U42" s="1393"/>
      <c r="V42" s="2450" t="s">
        <v>551</v>
      </c>
      <c r="W42" s="2451"/>
      <c r="X42" s="2450" t="s">
        <v>552</v>
      </c>
      <c r="Y42" s="2451"/>
      <c r="Z42" s="2566" t="s">
        <v>553</v>
      </c>
      <c r="AA42" s="2584"/>
      <c r="AB42" s="2585"/>
      <c r="AC42" s="2550"/>
      <c r="AD42" s="2595"/>
      <c r="AE42" s="2596"/>
      <c r="AF42" s="2596"/>
      <c r="AG42" s="2608"/>
      <c r="AH42" s="2595"/>
      <c r="AI42" s="2596"/>
      <c r="AJ42" s="2596"/>
      <c r="AK42" s="2608"/>
      <c r="AL42" s="2595"/>
      <c r="AM42" s="2596"/>
      <c r="AN42" s="2596"/>
      <c r="AO42" s="2608"/>
      <c r="AP42" s="2595"/>
      <c r="AQ42" s="2596"/>
      <c r="AR42" s="2596"/>
      <c r="AS42" s="2608"/>
      <c r="AT42" s="2450" t="s">
        <v>551</v>
      </c>
      <c r="AU42" s="2451"/>
      <c r="AV42" s="2450" t="s">
        <v>552</v>
      </c>
      <c r="AW42" s="2451"/>
      <c r="AX42" s="2566" t="s">
        <v>553</v>
      </c>
      <c r="AY42" s="2584"/>
      <c r="AZ42" s="2585"/>
      <c r="BA42" s="2550"/>
      <c r="BB42" s="2553"/>
      <c r="BC42" s="2392"/>
    </row>
    <row customHeight="1" ht="14.25">
      <c r="Q43" s="652"/>
      <c r="R43" s="737"/>
      <c r="S43" s="2545"/>
      <c r="T43" s="2482"/>
      <c r="U43" s="1393"/>
      <c r="V43" s="2458"/>
      <c r="W43" s="2459"/>
      <c r="X43" s="2458"/>
      <c r="Y43" s="2459"/>
      <c r="Z43" s="2567"/>
      <c r="AA43" s="2586"/>
      <c r="AB43" s="2587"/>
      <c r="AC43" s="2550"/>
      <c r="AD43" s="2595"/>
      <c r="AE43" s="2596"/>
      <c r="AF43" s="2596"/>
      <c r="AG43" s="2608"/>
      <c r="AH43" s="2595"/>
      <c r="AI43" s="2596"/>
      <c r="AJ43" s="2596"/>
      <c r="AK43" s="2608"/>
      <c r="AL43" s="2595"/>
      <c r="AM43" s="2596"/>
      <c r="AN43" s="2596"/>
      <c r="AO43" s="2608"/>
      <c r="AP43" s="2595"/>
      <c r="AQ43" s="2596"/>
      <c r="AR43" s="2596"/>
      <c r="AS43" s="2608"/>
      <c r="AT43" s="2458"/>
      <c r="AU43" s="2459"/>
      <c r="AV43" s="2458"/>
      <c r="AW43" s="2459"/>
      <c r="AX43" s="2567"/>
      <c r="AY43" s="2586"/>
      <c r="AZ43" s="2587"/>
      <c r="BA43" s="2550"/>
      <c r="BB43" s="2553"/>
      <c r="BC43" s="2392"/>
    </row>
    <row customHeight="1" ht="14.25">
      <c r="A44" s="1736"/>
      <c r="B44" s="1736" t="s">
        <v>143</v>
      </c>
      <c r="C44" s="1736" t="s">
        <v>144</v>
      </c>
      <c r="D44" s="1736" t="s">
        <v>145</v>
      </c>
      <c r="E44" s="1730" t="s">
        <v>476</v>
      </c>
      <c r="F44" s="1730" t="s">
        <v>477</v>
      </c>
      <c r="G44" s="1730" t="s">
        <v>478</v>
      </c>
      <c r="H44" s="1730" t="s">
        <v>479</v>
      </c>
      <c r="I44" s="1730" t="s">
        <v>480</v>
      </c>
      <c r="J44" s="1730" t="s">
        <v>481</v>
      </c>
      <c r="K44" s="1730" t="s">
        <v>482</v>
      </c>
      <c r="L44" s="1730" t="s">
        <v>457</v>
      </c>
      <c r="Q44" s="652"/>
      <c r="R44" s="737"/>
      <c r="S44" s="2545"/>
      <c r="T44" s="2482"/>
      <c r="U44" s="663"/>
      <c r="V44" s="1814" t="s">
        <v>517</v>
      </c>
      <c r="W44" s="1814" t="s">
        <v>518</v>
      </c>
      <c r="X44" s="1814" t="s">
        <v>517</v>
      </c>
      <c r="Y44" s="1814" t="s">
        <v>518</v>
      </c>
      <c r="Z44" s="1821" t="s">
        <v>485</v>
      </c>
      <c r="AA44" s="2541" t="s">
        <v>486</v>
      </c>
      <c r="AB44" s="2542"/>
      <c r="AC44" s="2551"/>
      <c r="AD44" s="2597"/>
      <c r="AE44" s="2598"/>
      <c r="AF44" s="2598"/>
      <c r="AG44" s="2599"/>
      <c r="AH44" s="2597"/>
      <c r="AI44" s="2598"/>
      <c r="AJ44" s="2598"/>
      <c r="AK44" s="2599"/>
      <c r="AL44" s="2597"/>
      <c r="AM44" s="2598"/>
      <c r="AN44" s="2598"/>
      <c r="AO44" s="2599"/>
      <c r="AP44" s="2597"/>
      <c r="AQ44" s="2598"/>
      <c r="AR44" s="2598"/>
      <c r="AS44" s="2599"/>
      <c r="AT44" s="1814" t="s">
        <v>517</v>
      </c>
      <c r="AU44" s="1814" t="s">
        <v>518</v>
      </c>
      <c r="AV44" s="1814" t="s">
        <v>517</v>
      </c>
      <c r="AW44" s="1814" t="s">
        <v>518</v>
      </c>
      <c r="AX44" s="1821" t="s">
        <v>485</v>
      </c>
      <c r="AY44" s="2541" t="s">
        <v>486</v>
      </c>
      <c r="AZ44" s="2542"/>
      <c r="BA44" s="2551"/>
      <c r="BB44" s="2554"/>
      <c r="BC44" s="2392"/>
    </row>
    <row s="32049" customFormat="1" customHeight="1" ht="11.25" hidden="1">
      <c r="A45" s="1736"/>
      <c r="B45" s="1736"/>
      <c r="C45" s="1736"/>
      <c r="D45" s="1736"/>
      <c r="E45" s="1736"/>
      <c r="F45" s="1736"/>
      <c r="G45" s="1736"/>
      <c r="H45" s="1736"/>
      <c r="I45" s="1736"/>
      <c r="J45" s="1736"/>
      <c r="K45" s="1736"/>
      <c r="L45" s="1730"/>
      <c r="M45" s="1728"/>
      <c r="N45" s="1728"/>
      <c r="O45" s="1728"/>
      <c r="P45" s="871"/>
      <c r="Q45" s="1619"/>
      <c r="R45" s="1619">
        <v>1</v>
      </c>
      <c r="S45" s="1643" t="s">
        <v>118</v>
      </c>
      <c r="T45" s="1620" t="s">
        <v>102</v>
      </c>
      <c r="U45" s="1610" t="str">
        <f>OFFSET(U45,0,-1)</f>
        <v>2</v>
      </c>
      <c r="V45" s="1817">
        <f>OFFSET(V45,0,-1)+1</f>
        <v>3</v>
      </c>
      <c r="W45" s="1817">
        <f>OFFSET(W45,0,-1)+1</f>
        <v>4</v>
      </c>
      <c r="X45" s="1817">
        <f>OFFSET(X45,0,-1)+1</f>
        <v>5</v>
      </c>
      <c r="Y45" s="1817">
        <f>OFFSET(Y45,0,-1)+1</f>
        <v>6</v>
      </c>
      <c r="Z45" s="1817">
        <f>OFFSET(Z45,0,-1)+1</f>
        <v>7</v>
      </c>
      <c r="AA45" s="2543">
        <f>OFFSET(AA45,0,-1)+1</f>
        <v>8</v>
      </c>
      <c r="AB45" s="2543"/>
      <c r="AC45" s="1817">
        <f>OFFSET(AC45,0,-2)+1</f>
        <v>9</v>
      </c>
      <c r="AD45" s="1817">
        <f>OFFSET(AD45,0,-1)+1</f>
        <v>10</v>
      </c>
      <c r="AE45" s="1817"/>
      <c r="AF45" s="1817"/>
      <c r="AG45" s="1817"/>
      <c r="AH45" s="1817"/>
      <c r="AI45" s="1817"/>
      <c r="AJ45" s="1817"/>
      <c r="AK45" s="1817"/>
      <c r="AL45" s="1817"/>
      <c r="AM45" s="1817"/>
      <c r="AN45" s="1817"/>
      <c r="AO45" s="1817"/>
      <c r="AP45" s="1817"/>
      <c r="AQ45" s="1817"/>
      <c r="AR45" s="1817"/>
      <c r="AS45" s="1817"/>
      <c r="AT45" s="1817"/>
      <c r="AU45" s="1817"/>
      <c r="AV45" s="1817"/>
      <c r="AW45" s="1817">
        <f>OFFSET(AW45,0,-1)+1</f>
        <v>1</v>
      </c>
      <c r="AX45" s="1817">
        <f>OFFSET(AX45,0,-1)+1</f>
        <v>2</v>
      </c>
      <c r="AY45" s="2543">
        <f>OFFSET(AY45,0,-1)+1</f>
        <v>3</v>
      </c>
      <c r="AZ45" s="2543"/>
      <c r="BA45" s="1817">
        <f>OFFSET(BA45,0,-2)+1</f>
        <v>4</v>
      </c>
      <c r="BB45" s="1610">
        <f>OFFSET(BB45,0,-1)</f>
        <v>4</v>
      </c>
      <c r="BC45" s="1817">
        <f>OFFSET(BC45,0,-1)+1</f>
        <v>5</v>
      </c>
      <c r="BD45" s="872"/>
      <c r="BE45" s="872"/>
      <c r="BF45" s="872"/>
      <c r="BG45" s="872"/>
      <c r="BH45" s="872"/>
    </row>
    <row customHeight="1" ht="21">
      <c r="A46" s="1729" t="s">
        <v>250</v>
      </c>
      <c r="B46" s="1729"/>
      <c r="C46" s="1729"/>
      <c r="D46" s="1729"/>
      <c r="E46" s="2527">
        <v>1</v>
      </c>
      <c r="F46" s="1729"/>
      <c r="G46" s="1729"/>
      <c r="H46" s="1729"/>
      <c r="I46" s="1729"/>
      <c r="J46" s="1729"/>
      <c r="K46" s="1729"/>
      <c r="L46" s="1730"/>
      <c r="M46" s="1731"/>
      <c r="N46" s="1731"/>
      <c r="O46" s="1731"/>
      <c r="P46" s="1775"/>
      <c r="Q46" s="1234"/>
      <c r="R46" s="716"/>
      <c r="S46" s="1823">
        <f>INDEX(PT_DIFFERENTIATION_NUM_NTAR,MATCH(A46,PT_DIFFERENTIATION_NTAR_ID,0))</f>
        <v>0</v>
      </c>
      <c r="T46" s="659" t="s">
        <v>131</v>
      </c>
      <c r="U46" s="661"/>
      <c r="V46" s="2522"/>
      <c r="W46" s="2522"/>
      <c r="X46" s="2522"/>
      <c r="Y46" s="2522"/>
      <c r="Z46" s="2522"/>
      <c r="AA46" s="2522"/>
      <c r="AB46" s="2522"/>
      <c r="AC46" s="2523"/>
      <c r="AD46" s="2521" t="str">
        <f>INDEX(PT_DIFFERENTIATION_NTAR,MATCH(A46,PT_DIFFERENTIATION_NTAR_ID,0))</f>
        <v/>
      </c>
      <c r="AE46" s="2522"/>
      <c r="AF46" s="2522"/>
      <c r="AG46" s="2522"/>
      <c r="AH46" s="2522"/>
      <c r="AI46" s="2522"/>
      <c r="AJ46" s="2522"/>
      <c r="AK46" s="2522"/>
      <c r="AL46" s="2522"/>
      <c r="AM46" s="2522"/>
      <c r="AN46" s="2522"/>
      <c r="AO46" s="2522"/>
      <c r="AP46" s="2522"/>
      <c r="AQ46" s="2522"/>
      <c r="AR46" s="2522"/>
      <c r="AS46" s="2522"/>
      <c r="AT46" s="2522"/>
      <c r="AU46" s="2522"/>
      <c r="AV46" s="2522"/>
      <c r="AW46" s="2522"/>
      <c r="AX46" s="2522"/>
      <c r="AY46" s="2522"/>
      <c r="AZ46" s="2522"/>
      <c r="BA46" s="2522"/>
      <c r="BB46" s="2523"/>
      <c r="BC46"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861"/>
      <c r="BF46" s="861" t="str">
        <f>IF(T46="","",T46)</f>
        <v>Наименование тарифа</v>
      </c>
      <c r="BG46" s="861"/>
      <c r="BH46" s="861"/>
    </row>
    <row customHeight="1" ht="21">
      <c r="A47" s="1729" t="s">
        <v>250</v>
      </c>
      <c r="B47" s="1729" t="s">
        <v>251</v>
      </c>
      <c r="C47" s="1729"/>
      <c r="D47" s="1729"/>
      <c r="E47" s="2528"/>
      <c r="F47" s="2527">
        <v>1</v>
      </c>
      <c r="G47" s="1729"/>
      <c r="H47" s="1729"/>
      <c r="I47" s="1729"/>
      <c r="J47" s="1729"/>
      <c r="K47" s="1729"/>
      <c r="L47" s="1730"/>
      <c r="M47" s="1731"/>
      <c r="N47" s="1731"/>
      <c r="O47" s="1731"/>
      <c r="P47" s="1776"/>
      <c r="Q47" s="1777"/>
      <c r="R47" s="714"/>
      <c r="S47" s="1823" t="str">
        <f>INDEX(PT_DIFFERENTIATION_NUM_TER,MATCH(B47,PT_DIFFERENTIATION_TER_ID,0))</f>
        <v>.</v>
      </c>
      <c r="T47" s="669" t="s">
        <v>438</v>
      </c>
      <c r="U47" s="661"/>
      <c r="V47" s="2522"/>
      <c r="W47" s="2522"/>
      <c r="X47" s="2522"/>
      <c r="Y47" s="2522"/>
      <c r="Z47" s="2522"/>
      <c r="AA47" s="2522"/>
      <c r="AB47" s="2522"/>
      <c r="AC47" s="2523"/>
      <c r="AD47" s="2521" t="str">
        <f>INDEX(PT_DIFFERENTIATION_TER,MATCH(B47,PT_DIFFERENTIATION_TER_ID,0))</f>
        <v/>
      </c>
      <c r="AE47" s="2522"/>
      <c r="AF47" s="2522"/>
      <c r="AG47" s="2522"/>
      <c r="AH47" s="2522"/>
      <c r="AI47" s="2522"/>
      <c r="AJ47" s="2522"/>
      <c r="AK47" s="2522"/>
      <c r="AL47" s="2522"/>
      <c r="AM47" s="2522"/>
      <c r="AN47" s="2522"/>
      <c r="AO47" s="2522"/>
      <c r="AP47" s="2522"/>
      <c r="AQ47" s="2522"/>
      <c r="AR47" s="2522"/>
      <c r="AS47" s="2522"/>
      <c r="AT47" s="2522"/>
      <c r="AU47" s="2522"/>
      <c r="AV47" s="2522"/>
      <c r="AW47" s="2522"/>
      <c r="AX47" s="2522"/>
      <c r="AY47" s="2522"/>
      <c r="AZ47" s="2522"/>
      <c r="BA47" s="2522"/>
      <c r="BB47" s="2523"/>
      <c r="BC47" s="1623" t="s">
        <v>439</v>
      </c>
      <c r="BE47" s="861"/>
      <c r="BF47" s="861" t="str">
        <f>IF(T47="","",T47)</f>
        <v>Территория действия тарифа</v>
      </c>
      <c r="BG47" s="861"/>
      <c r="BH47" s="861"/>
    </row>
    <row customHeight="1" ht="42">
      <c r="A48" s="1729" t="s">
        <v>250</v>
      </c>
      <c r="B48" s="1729" t="s">
        <v>251</v>
      </c>
      <c r="C48" s="1729" t="s">
        <v>252</v>
      </c>
      <c r="D48" s="1729"/>
      <c r="E48" s="2528"/>
      <c r="F48" s="2528"/>
      <c r="G48" s="2527">
        <v>1</v>
      </c>
      <c r="H48" s="1729"/>
      <c r="I48" s="1729"/>
      <c r="J48" s="1729"/>
      <c r="K48" s="1729"/>
      <c r="L48" s="1730"/>
      <c r="M48" s="1731"/>
      <c r="N48" s="1731"/>
      <c r="O48" s="1731"/>
      <c r="P48" s="1778"/>
      <c r="Q48" s="1777"/>
      <c r="R48" s="714"/>
      <c r="S48" s="1823" t="str">
        <f>INDEX(PT_DIFFERENTIATION_NUM_CS,MATCH(C48,PT_DIFFERENTIATION_CS_ID,0))</f>
        <v>..</v>
      </c>
      <c r="T48" s="670" t="s">
        <v>520</v>
      </c>
      <c r="U48" s="661"/>
      <c r="V48" s="2522"/>
      <c r="W48" s="2522"/>
      <c r="X48" s="2522"/>
      <c r="Y48" s="2522"/>
      <c r="Z48" s="2522"/>
      <c r="AA48" s="2522"/>
      <c r="AB48" s="2522"/>
      <c r="AC48" s="2523"/>
      <c r="AD48" s="2521" t="str">
        <f>INDEX(PT_DIFFERENTIATION_CS,MATCH(C48,PT_DIFFERENTIATION_CS_ID,0))</f>
        <v/>
      </c>
      <c r="AE48" s="2522"/>
      <c r="AF48" s="2522"/>
      <c r="AG48" s="2522"/>
      <c r="AH48" s="2522"/>
      <c r="AI48" s="2522"/>
      <c r="AJ48" s="2522"/>
      <c r="AK48" s="2522"/>
      <c r="AL48" s="2522"/>
      <c r="AM48" s="2522"/>
      <c r="AN48" s="2522"/>
      <c r="AO48" s="2522"/>
      <c r="AP48" s="2522"/>
      <c r="AQ48" s="2522"/>
      <c r="AR48" s="2522"/>
      <c r="AS48" s="2522"/>
      <c r="AT48" s="2522"/>
      <c r="AU48" s="2522"/>
      <c r="AV48" s="2522"/>
      <c r="AW48" s="2522"/>
      <c r="AX48" s="2522"/>
      <c r="AY48" s="2522"/>
      <c r="AZ48" s="2522"/>
      <c r="BA48" s="2522"/>
      <c r="BB48" s="2523"/>
      <c r="BC48" s="1623" t="s">
        <v>521</v>
      </c>
      <c r="BE48" s="861"/>
      <c r="BF48" s="861" t="str">
        <f>IF(T48="","",T48)</f>
        <v>Наименование централизованной системы холодного водоснабжения</v>
      </c>
      <c r="BG48" s="861"/>
      <c r="BH48" s="861"/>
    </row>
    <row s="32289" customFormat="1" customHeight="1" ht="0">
      <c r="A49" s="1709" t="s">
        <v>250</v>
      </c>
      <c r="B49" s="1709" t="s">
        <v>251</v>
      </c>
      <c r="C49" s="1709" t="s">
        <v>252</v>
      </c>
      <c r="D49" s="1709" t="s">
        <v>554</v>
      </c>
      <c r="E49" s="2528"/>
      <c r="F49" s="2528"/>
      <c r="G49" s="2528"/>
      <c r="H49" s="2527">
        <v>1</v>
      </c>
      <c r="I49" s="1709"/>
      <c r="J49" s="1709"/>
      <c r="K49" s="1709"/>
      <c r="L49" s="1712"/>
      <c r="M49" s="1681"/>
      <c r="N49" s="1681"/>
      <c r="O49" s="1681"/>
      <c r="P49" s="1863"/>
      <c r="Q49" s="1864"/>
      <c r="R49" s="718"/>
      <c r="S49" s="1404"/>
      <c r="T49" s="1865"/>
      <c r="U49" s="1750"/>
      <c r="V49" s="2570"/>
      <c r="W49" s="2570"/>
      <c r="X49" s="2570"/>
      <c r="Y49" s="2570"/>
      <c r="Z49" s="2570"/>
      <c r="AA49" s="2570"/>
      <c r="AB49" s="2570"/>
      <c r="AC49" s="2571"/>
      <c r="AD49" s="2569"/>
      <c r="AE49" s="2570"/>
      <c r="AF49" s="2570"/>
      <c r="AG49" s="2570"/>
      <c r="AH49" s="2570"/>
      <c r="AI49" s="2570"/>
      <c r="AJ49" s="2570"/>
      <c r="AK49" s="2570"/>
      <c r="AL49" s="2570"/>
      <c r="AM49" s="2570"/>
      <c r="AN49" s="2570"/>
      <c r="AO49" s="2570"/>
      <c r="AP49" s="2570"/>
      <c r="AQ49" s="2570"/>
      <c r="AR49" s="2570"/>
      <c r="AS49" s="2570"/>
      <c r="AT49" s="2570"/>
      <c r="AU49" s="2570"/>
      <c r="AV49" s="2570"/>
      <c r="AW49" s="2570"/>
      <c r="AX49" s="2570"/>
      <c r="AY49" s="2570"/>
      <c r="AZ49" s="2570"/>
      <c r="BA49" s="2570"/>
      <c r="BB49" s="2571"/>
      <c r="BC49" s="1751" t="s">
        <v>443</v>
      </c>
      <c r="BE49" s="861"/>
      <c r="BF49" s="861" t="str">
        <f>IF(T49="","",T49)</f>
        <v/>
      </c>
      <c r="BG49" s="861"/>
      <c r="BH49" s="861"/>
    </row>
    <row s="32289" customFormat="1" customHeight="1" ht="0">
      <c r="A50" s="1709" t="s">
        <v>250</v>
      </c>
      <c r="B50" s="1709" t="s">
        <v>251</v>
      </c>
      <c r="C50" s="1709" t="s">
        <v>252</v>
      </c>
      <c r="D50" s="1709" t="s">
        <v>554</v>
      </c>
      <c r="E50" s="2528"/>
      <c r="F50" s="2528"/>
      <c r="G50" s="2528"/>
      <c r="H50" s="2528"/>
      <c r="I50" s="2529" t="str">
        <f>S49&amp;".1"</f>
        <v>.1</v>
      </c>
      <c r="J50" s="1709"/>
      <c r="K50" s="1709"/>
      <c r="L50" s="1712" t="s">
        <v>444</v>
      </c>
      <c r="M50" s="871"/>
      <c r="N50" s="871"/>
      <c r="O50" s="871"/>
      <c r="P50" s="2531">
        <v>1</v>
      </c>
      <c r="Q50" s="1828"/>
      <c r="R50" s="717"/>
      <c r="S50" s="1404"/>
      <c r="T50" s="1749"/>
      <c r="U50" s="1750"/>
      <c r="V50" s="2570"/>
      <c r="W50" s="2570"/>
      <c r="X50" s="2570"/>
      <c r="Y50" s="2570"/>
      <c r="Z50" s="2570"/>
      <c r="AA50" s="2570"/>
      <c r="AB50" s="2570"/>
      <c r="AC50" s="2571"/>
      <c r="AD50" s="2569"/>
      <c r="AE50" s="2570"/>
      <c r="AF50" s="2570"/>
      <c r="AG50" s="2570"/>
      <c r="AH50" s="2570"/>
      <c r="AI50" s="2570"/>
      <c r="AJ50" s="2570"/>
      <c r="AK50" s="2570"/>
      <c r="AL50" s="2570"/>
      <c r="AM50" s="2570"/>
      <c r="AN50" s="2570"/>
      <c r="AO50" s="2570"/>
      <c r="AP50" s="2570"/>
      <c r="AQ50" s="2570"/>
      <c r="AR50" s="2570"/>
      <c r="AS50" s="2570"/>
      <c r="AT50" s="2570"/>
      <c r="AU50" s="2570"/>
      <c r="AV50" s="2570"/>
      <c r="AW50" s="2570"/>
      <c r="AX50" s="2570"/>
      <c r="AY50" s="2570"/>
      <c r="AZ50" s="2570"/>
      <c r="BA50" s="2570"/>
      <c r="BB50" s="2571"/>
      <c r="BC50" s="1751"/>
      <c r="BE50" s="861"/>
      <c r="BF50" s="861" t="str">
        <f>IF(T50="","",T50)</f>
        <v/>
      </c>
      <c r="BG50" s="861"/>
      <c r="BH50" s="861"/>
    </row>
    <row s="32289" customFormat="1" customHeight="1" ht="0">
      <c r="A51" s="1709" t="s">
        <v>250</v>
      </c>
      <c r="B51" s="1709" t="s">
        <v>251</v>
      </c>
      <c r="C51" s="1709" t="s">
        <v>252</v>
      </c>
      <c r="D51" s="1709" t="s">
        <v>554</v>
      </c>
      <c r="E51" s="2528"/>
      <c r="F51" s="2528"/>
      <c r="G51" s="2528"/>
      <c r="H51" s="2528"/>
      <c r="I51" s="2530"/>
      <c r="J51" s="2529" t="str">
        <f>S49&amp;".1"</f>
        <v>.1</v>
      </c>
      <c r="K51" s="1709"/>
      <c r="L51" s="1712"/>
      <c r="M51" s="871"/>
      <c r="N51" s="871"/>
      <c r="O51" s="871"/>
      <c r="P51" s="2531"/>
      <c r="Q51" s="2531">
        <v>1</v>
      </c>
      <c r="R51" s="718"/>
      <c r="S51" s="1404"/>
      <c r="T51" s="1765"/>
      <c r="U51" s="1750"/>
      <c r="V51" s="2570"/>
      <c r="W51" s="2570"/>
      <c r="X51" s="2570"/>
      <c r="Y51" s="2570"/>
      <c r="Z51" s="2570"/>
      <c r="AA51" s="2570"/>
      <c r="AB51" s="2570"/>
      <c r="AC51" s="2571"/>
      <c r="AD51" s="2569"/>
      <c r="AE51" s="2570"/>
      <c r="AF51" s="2570"/>
      <c r="AG51" s="2570"/>
      <c r="AH51" s="2570"/>
      <c r="AI51" s="2570"/>
      <c r="AJ51" s="2570"/>
      <c r="AK51" s="2570"/>
      <c r="AL51" s="2570"/>
      <c r="AM51" s="2570"/>
      <c r="AN51" s="2630"/>
      <c r="AO51" s="2630"/>
      <c r="AP51" s="2570"/>
      <c r="AQ51" s="2570"/>
      <c r="AR51" s="2570"/>
      <c r="AS51" s="2570"/>
      <c r="AT51" s="2570"/>
      <c r="AU51" s="2570"/>
      <c r="AV51" s="2570"/>
      <c r="AW51" s="2570"/>
      <c r="AX51" s="2570"/>
      <c r="AY51" s="2570"/>
      <c r="AZ51" s="2570"/>
      <c r="BA51" s="2570"/>
      <c r="BB51" s="2571"/>
      <c r="BC51" s="1751"/>
      <c r="BE51" s="861"/>
      <c r="BF51" s="861" t="str">
        <f>IF(T51="","",T51)</f>
        <v/>
      </c>
      <c r="BG51" s="861"/>
      <c r="BH51" s="861"/>
    </row>
    <row customHeight="1" ht="11.25">
      <c r="A52" s="1729" t="s">
        <v>250</v>
      </c>
      <c r="B52" s="1729" t="s">
        <v>251</v>
      </c>
      <c r="C52" s="1729" t="s">
        <v>252</v>
      </c>
      <c r="D52" s="1729" t="s">
        <v>554</v>
      </c>
      <c r="E52" s="2528"/>
      <c r="F52" s="2528"/>
      <c r="G52" s="2528"/>
      <c r="H52" s="2528"/>
      <c r="I52" s="2530"/>
      <c r="J52" s="2530"/>
      <c r="K52" s="2529" t="str">
        <f>S48&amp;".1"</f>
        <v>...1</v>
      </c>
      <c r="L52" s="1730"/>
      <c r="P52" s="2531"/>
      <c r="Q52" s="2531"/>
      <c r="R52" s="718">
        <v>1</v>
      </c>
      <c r="S52" s="2604" t="str">
        <f>$K52</f>
        <v>...1</v>
      </c>
      <c r="T52" s="2624"/>
      <c r="U52" s="661"/>
      <c r="V52" s="1112"/>
      <c r="W52" s="1622"/>
      <c r="X52" s="1112"/>
      <c r="Y52" s="1622"/>
      <c r="Z52" s="2100"/>
      <c r="AA52" s="1825" t="s">
        <v>66</v>
      </c>
      <c r="AB52" s="2100"/>
      <c r="AC52" s="1825" t="s">
        <v>66</v>
      </c>
      <c r="AD52" s="2465" t="s">
        <v>66</v>
      </c>
      <c r="AE52" s="2600"/>
      <c r="AF52" s="2478">
        <v>1</v>
      </c>
      <c r="AG52" s="2623"/>
      <c r="AH52" s="2402" t="s">
        <v>66</v>
      </c>
      <c r="AI52" s="2600"/>
      <c r="AJ52" s="2478">
        <v>1</v>
      </c>
      <c r="AK52" s="2622" t="s">
        <v>24</v>
      </c>
      <c r="AL52" s="2402" t="s">
        <v>66</v>
      </c>
      <c r="AM52" s="2450"/>
      <c r="AN52" s="2478">
        <v>1</v>
      </c>
      <c r="AO52" s="2627"/>
      <c r="AP52" s="2628" t="s">
        <v>66</v>
      </c>
      <c r="AQ52" s="672"/>
      <c r="AR52" s="1829">
        <v>1</v>
      </c>
      <c r="AS52" s="1832" t="s">
        <v>24</v>
      </c>
      <c r="AT52" s="1112"/>
      <c r="AU52" s="1622"/>
      <c r="AV52" s="1112"/>
      <c r="AW52" s="1622"/>
      <c r="AX52" s="2100"/>
      <c r="AY52" s="1825" t="s">
        <v>66</v>
      </c>
      <c r="AZ52" s="2100"/>
      <c r="BA52" s="1825" t="s">
        <v>66</v>
      </c>
      <c r="BB52" s="1714"/>
      <c r="BC52" s="2557" t="s">
        <v>540</v>
      </c>
      <c r="BE52" s="861"/>
      <c r="BF52" s="861" t="str">
        <f>IF(T52="","",T52)</f>
        <v/>
      </c>
      <c r="BG52" s="861"/>
      <c r="BH52" s="861"/>
    </row>
    <row customHeight="1" ht="11.25">
      <c r="A53" s="1729"/>
      <c r="B53" s="1729"/>
      <c r="C53" s="1729"/>
      <c r="D53" s="1729"/>
      <c r="E53" s="2528"/>
      <c r="F53" s="2528"/>
      <c r="G53" s="2528"/>
      <c r="H53" s="2528"/>
      <c r="I53" s="2530"/>
      <c r="J53" s="2530"/>
      <c r="K53" s="2529"/>
      <c r="L53" s="1730"/>
      <c r="P53" s="2531"/>
      <c r="Q53" s="2531"/>
      <c r="R53" s="718"/>
      <c r="S53" s="2605"/>
      <c r="T53" s="2625"/>
      <c r="U53" s="661"/>
      <c r="V53" s="1759"/>
      <c r="W53" s="1862"/>
      <c r="X53" s="1759"/>
      <c r="Y53" s="1862"/>
      <c r="Z53" s="1759"/>
      <c r="AA53" s="1759"/>
      <c r="AB53" s="1759"/>
      <c r="AC53" s="1759"/>
      <c r="AD53" s="2466"/>
      <c r="AE53" s="2600"/>
      <c r="AF53" s="2478"/>
      <c r="AG53" s="2623"/>
      <c r="AH53" s="2402"/>
      <c r="AI53" s="2600"/>
      <c r="AJ53" s="2478"/>
      <c r="AK53" s="2622"/>
      <c r="AL53" s="2402"/>
      <c r="AM53" s="2458"/>
      <c r="AN53" s="2478"/>
      <c r="AO53" s="2627"/>
      <c r="AP53" s="2629"/>
      <c r="AQ53" s="677"/>
      <c r="AR53" s="777"/>
      <c r="AS53" s="777" t="s">
        <v>541</v>
      </c>
      <c r="AT53" s="1759"/>
      <c r="AU53" s="1862"/>
      <c r="AV53" s="1759"/>
      <c r="AW53" s="1862"/>
      <c r="AX53" s="1759"/>
      <c r="AY53" s="1759"/>
      <c r="AZ53" s="1759"/>
      <c r="BA53" s="1759"/>
      <c r="BB53" s="1763"/>
      <c r="BC53" s="2558"/>
      <c r="BE53" s="861"/>
      <c r="BF53" s="861"/>
      <c r="BG53" s="861"/>
      <c r="BH53" s="861"/>
    </row>
    <row customHeight="1" ht="11.25">
      <c r="A54" s="1729" t="s">
        <v>250</v>
      </c>
      <c r="B54" s="1729"/>
      <c r="C54" s="1729"/>
      <c r="D54" s="1729"/>
      <c r="E54" s="2528"/>
      <c r="F54" s="2528"/>
      <c r="G54" s="2528"/>
      <c r="H54" s="2528"/>
      <c r="I54" s="2530"/>
      <c r="J54" s="2530"/>
      <c r="K54" s="2529"/>
      <c r="L54" s="1730"/>
      <c r="P54" s="2531"/>
      <c r="Q54" s="2531"/>
      <c r="R54" s="718"/>
      <c r="S54" s="2605"/>
      <c r="T54" s="2625"/>
      <c r="U54" s="661"/>
      <c r="V54" s="1759"/>
      <c r="W54" s="1862"/>
      <c r="X54" s="1759"/>
      <c r="Y54" s="1862"/>
      <c r="Z54" s="1759"/>
      <c r="AA54" s="1759"/>
      <c r="AB54" s="1759"/>
      <c r="AC54" s="1759"/>
      <c r="AD54" s="2466"/>
      <c r="AE54" s="2600"/>
      <c r="AF54" s="2478"/>
      <c r="AG54" s="2623"/>
      <c r="AH54" s="2402"/>
      <c r="AI54" s="2600"/>
      <c r="AJ54" s="2478"/>
      <c r="AK54" s="2622"/>
      <c r="AL54" s="2402"/>
      <c r="AM54" s="677"/>
      <c r="AN54" s="1866"/>
      <c r="AO54" s="1866" t="s">
        <v>542</v>
      </c>
      <c r="AP54" s="777"/>
      <c r="AQ54" s="777"/>
      <c r="AR54" s="777"/>
      <c r="AS54" s="1759"/>
      <c r="AT54" s="1759"/>
      <c r="AU54" s="1862"/>
      <c r="AV54" s="1759"/>
      <c r="AW54" s="1862"/>
      <c r="AX54" s="1759"/>
      <c r="AY54" s="1759"/>
      <c r="AZ54" s="1759"/>
      <c r="BA54" s="1759"/>
      <c r="BB54" s="1763"/>
      <c r="BC54" s="2558"/>
      <c r="BE54" s="861"/>
      <c r="BF54" s="861"/>
      <c r="BG54" s="861"/>
      <c r="BH54" s="861"/>
    </row>
    <row customHeight="1" ht="11.25">
      <c r="A55" s="1729" t="s">
        <v>250</v>
      </c>
      <c r="B55" s="1729"/>
      <c r="C55" s="1729"/>
      <c r="D55" s="1729"/>
      <c r="E55" s="2528"/>
      <c r="F55" s="2528"/>
      <c r="G55" s="2528"/>
      <c r="H55" s="2528"/>
      <c r="I55" s="2530"/>
      <c r="J55" s="2530"/>
      <c r="K55" s="2529"/>
      <c r="L55" s="1730"/>
      <c r="P55" s="2531"/>
      <c r="Q55" s="2531"/>
      <c r="R55" s="718"/>
      <c r="S55" s="2605"/>
      <c r="T55" s="2625"/>
      <c r="U55" s="661"/>
      <c r="V55" s="1759"/>
      <c r="W55" s="1862"/>
      <c r="X55" s="1759"/>
      <c r="Y55" s="1862"/>
      <c r="Z55" s="1759"/>
      <c r="AA55" s="1759"/>
      <c r="AB55" s="1759"/>
      <c r="AC55" s="1759"/>
      <c r="AD55" s="2466"/>
      <c r="AE55" s="2600"/>
      <c r="AF55" s="2478"/>
      <c r="AG55" s="2623"/>
      <c r="AH55" s="2402"/>
      <c r="AI55" s="655"/>
      <c r="AJ55" s="776"/>
      <c r="AK55" s="674" t="s">
        <v>543</v>
      </c>
      <c r="AL55" s="1759"/>
      <c r="AM55" s="1759"/>
      <c r="AN55" s="1759"/>
      <c r="AO55" s="1759"/>
      <c r="AP55" s="1759"/>
      <c r="AQ55" s="1759"/>
      <c r="AR55" s="1759"/>
      <c r="AS55" s="1759"/>
      <c r="AT55" s="1759"/>
      <c r="AU55" s="1862"/>
      <c r="AV55" s="1759"/>
      <c r="AW55" s="1862"/>
      <c r="AX55" s="1759"/>
      <c r="AY55" s="1759"/>
      <c r="AZ55" s="1759"/>
      <c r="BA55" s="1759"/>
      <c r="BB55" s="1763"/>
      <c r="BC55" s="2558"/>
      <c r="BE55" s="861"/>
      <c r="BF55" s="861"/>
      <c r="BG55" s="861"/>
      <c r="BH55" s="861"/>
    </row>
    <row customHeight="1" ht="11.25">
      <c r="A56" s="1729" t="s">
        <v>250</v>
      </c>
      <c r="B56" s="1729" t="s">
        <v>251</v>
      </c>
      <c r="C56" s="1729" t="s">
        <v>252</v>
      </c>
      <c r="D56" s="1729" t="s">
        <v>554</v>
      </c>
      <c r="E56" s="2528"/>
      <c r="F56" s="2528"/>
      <c r="G56" s="2528"/>
      <c r="H56" s="2528"/>
      <c r="I56" s="2530"/>
      <c r="J56" s="2530"/>
      <c r="K56" s="2529"/>
      <c r="L56" s="1730"/>
      <c r="P56" s="2531"/>
      <c r="Q56" s="2531"/>
      <c r="R56" s="718"/>
      <c r="S56" s="2606"/>
      <c r="T56" s="2626"/>
      <c r="U56" s="661"/>
      <c r="V56" s="1759"/>
      <c r="W56" s="1760" t="str">
        <f>Z52&amp;"-"&amp;AB52</f>
        <v>-</v>
      </c>
      <c r="X56" s="1759"/>
      <c r="Y56" s="1760" t="str">
        <f>AB52&amp;"-"&amp;AD52</f>
        <v>-да</v>
      </c>
      <c r="Z56" s="1759"/>
      <c r="AA56" s="1759"/>
      <c r="AB56" s="1759"/>
      <c r="AC56" s="1759"/>
      <c r="AD56" s="2407"/>
      <c r="AE56" s="673"/>
      <c r="AF56" s="675"/>
      <c r="AG56" s="777" t="s">
        <v>544</v>
      </c>
      <c r="AH56" s="1759"/>
      <c r="AI56" s="1759"/>
      <c r="AJ56" s="1759"/>
      <c r="AK56" s="1759"/>
      <c r="AL56" s="1759"/>
      <c r="AM56" s="1759"/>
      <c r="AN56" s="1759"/>
      <c r="AO56" s="1759"/>
      <c r="AP56" s="1759"/>
      <c r="AQ56" s="1759"/>
      <c r="AR56" s="1759"/>
      <c r="AS56" s="1759"/>
      <c r="AT56" s="1759"/>
      <c r="AU56" s="1760" t="str">
        <f>AX52&amp;"-"&amp;AZ52</f>
        <v>-</v>
      </c>
      <c r="AV56" s="1759"/>
      <c r="AW56" s="1760" t="str">
        <f>AZ52&amp;"-"&amp;BB52</f>
        <v>-</v>
      </c>
      <c r="AX56" s="1759"/>
      <c r="AY56" s="1759"/>
      <c r="AZ56" s="1759"/>
      <c r="BA56" s="1759"/>
      <c r="BB56" s="1762" t="str">
        <f>BE52&amp;"-"&amp;BG52</f>
        <v>-</v>
      </c>
      <c r="BC56" s="2558"/>
      <c r="BE56" s="861"/>
      <c r="BF56" s="861" t="str">
        <f>IF(T56="","",T56)</f>
        <v/>
      </c>
      <c r="BG56" s="861"/>
      <c r="BH56" s="861"/>
    </row>
    <row customHeight="1" ht="11.25">
      <c r="A57" s="1729" t="s">
        <v>250</v>
      </c>
      <c r="B57" s="1729" t="s">
        <v>251</v>
      </c>
      <c r="C57" s="1729" t="s">
        <v>252</v>
      </c>
      <c r="D57" s="1729" t="s">
        <v>554</v>
      </c>
      <c r="E57" s="2528"/>
      <c r="F57" s="2528"/>
      <c r="G57" s="2528"/>
      <c r="H57" s="2528"/>
      <c r="I57" s="2530"/>
      <c r="J57" s="2529"/>
      <c r="K57" s="1729"/>
      <c r="L57" s="1730"/>
      <c r="P57" s="2531"/>
      <c r="Q57" s="2531"/>
      <c r="R57" s="717"/>
      <c r="S57" s="1644"/>
      <c r="T57" s="648" t="s">
        <v>506</v>
      </c>
      <c r="U57" s="728"/>
      <c r="V57" s="728"/>
      <c r="W57" s="728"/>
      <c r="X57" s="728"/>
      <c r="Y57" s="728"/>
      <c r="Z57" s="728"/>
      <c r="AA57" s="728"/>
      <c r="AB57" s="728"/>
      <c r="AC57" s="685"/>
      <c r="AD57" s="1871"/>
      <c r="AE57" s="728"/>
      <c r="AF57" s="728"/>
      <c r="AG57" s="728"/>
      <c r="AH57" s="728"/>
      <c r="AI57" s="728"/>
      <c r="AJ57" s="728"/>
      <c r="AK57" s="728"/>
      <c r="AL57" s="728"/>
      <c r="AM57" s="728"/>
      <c r="AN57" s="728"/>
      <c r="AO57" s="728"/>
      <c r="AP57" s="728"/>
      <c r="AQ57" s="728"/>
      <c r="AR57" s="728"/>
      <c r="AS57" s="728"/>
      <c r="AT57" s="728"/>
      <c r="AU57" s="728"/>
      <c r="AV57" s="728"/>
      <c r="AW57" s="728"/>
      <c r="AX57" s="728"/>
      <c r="AY57" s="728"/>
      <c r="AZ57" s="728"/>
      <c r="BA57" s="728"/>
      <c r="BB57" s="685"/>
      <c r="BC57" s="2559"/>
      <c r="BE57" s="861"/>
      <c r="BF57" s="861" t="str">
        <f>IF(T57="","",T57)</f>
        <v>Добавить строку</v>
      </c>
      <c r="BG57" s="861"/>
      <c r="BH57" s="861"/>
    </row>
    <row s="32289" customFormat="1" customHeight="1" ht="0">
      <c r="A58" s="1709" t="s">
        <v>250</v>
      </c>
      <c r="B58" s="1709" t="s">
        <v>251</v>
      </c>
      <c r="C58" s="1709" t="s">
        <v>252</v>
      </c>
      <c r="D58" s="1709" t="s">
        <v>554</v>
      </c>
      <c r="E58" s="2528"/>
      <c r="F58" s="2528"/>
      <c r="G58" s="2528"/>
      <c r="H58" s="2528"/>
      <c r="I58" s="2529"/>
      <c r="J58" s="1709"/>
      <c r="K58" s="1709"/>
      <c r="L58" s="1712"/>
      <c r="M58" s="871"/>
      <c r="N58" s="871"/>
      <c r="O58" s="871"/>
      <c r="P58" s="2531"/>
      <c r="Q58" s="1828"/>
      <c r="R58" s="717"/>
      <c r="S58" s="1752"/>
      <c r="T58" s="1753"/>
      <c r="U58" s="1754"/>
      <c r="V58" s="1754"/>
      <c r="W58" s="1754"/>
      <c r="X58" s="1754"/>
      <c r="Y58" s="1754"/>
      <c r="Z58" s="1754"/>
      <c r="AA58" s="1754"/>
      <c r="AB58" s="1754"/>
      <c r="AC58" s="1754"/>
      <c r="AD58" s="1754"/>
      <c r="AE58" s="1754"/>
      <c r="AF58" s="1754"/>
      <c r="AG58" s="1754"/>
      <c r="AH58" s="1754"/>
      <c r="AI58" s="1754"/>
      <c r="AJ58" s="1754"/>
      <c r="AK58" s="1754"/>
      <c r="AL58" s="1754"/>
      <c r="AM58" s="1754"/>
      <c r="AN58" s="1754"/>
      <c r="AO58" s="1754"/>
      <c r="AP58" s="1754"/>
      <c r="AQ58" s="1754"/>
      <c r="AR58" s="1754"/>
      <c r="AS58" s="1754"/>
      <c r="AT58" s="1754"/>
      <c r="AU58" s="1754"/>
      <c r="AV58" s="1754"/>
      <c r="AW58" s="1754"/>
      <c r="AX58" s="1754"/>
      <c r="AY58" s="1754"/>
      <c r="AZ58" s="1754"/>
      <c r="BA58" s="1754"/>
      <c r="BB58" s="1754"/>
      <c r="BC58" s="1755"/>
      <c r="BE58" s="861"/>
      <c r="BF58" s="861" t="str">
        <f>IF(T58="","",T58)</f>
        <v/>
      </c>
      <c r="BG58" s="861"/>
      <c r="BH58" s="861"/>
    </row>
    <row s="32289" customFormat="1" customHeight="1" ht="0">
      <c r="A59" s="1709" t="s">
        <v>250</v>
      </c>
      <c r="B59" s="1709" t="s">
        <v>251</v>
      </c>
      <c r="C59" s="1709" t="s">
        <v>252</v>
      </c>
      <c r="D59" s="1709" t="s">
        <v>554</v>
      </c>
      <c r="E59" s="2528"/>
      <c r="F59" s="2528"/>
      <c r="G59" s="2528"/>
      <c r="H59" s="2527"/>
      <c r="I59" s="1709"/>
      <c r="J59" s="1709"/>
      <c r="K59" s="1709"/>
      <c r="L59" s="1712"/>
      <c r="M59" s="1681"/>
      <c r="N59" s="1681"/>
      <c r="O59" s="879"/>
      <c r="P59" s="741"/>
      <c r="Q59" s="1710"/>
      <c r="R59" s="1767"/>
      <c r="S59" s="1752"/>
      <c r="T59" s="1753"/>
      <c r="U59" s="1754"/>
      <c r="V59" s="1754"/>
      <c r="W59" s="1754"/>
      <c r="X59" s="1754"/>
      <c r="Y59" s="1754"/>
      <c r="Z59" s="1754"/>
      <c r="AA59" s="1754"/>
      <c r="AB59" s="1754"/>
      <c r="AC59" s="1754"/>
      <c r="AD59" s="1754"/>
      <c r="AE59" s="1754"/>
      <c r="AF59" s="1754"/>
      <c r="AG59" s="1754"/>
      <c r="AH59" s="1754"/>
      <c r="AI59" s="1754"/>
      <c r="AJ59" s="1754"/>
      <c r="AK59" s="1754"/>
      <c r="AL59" s="1754"/>
      <c r="AM59" s="1754"/>
      <c r="AN59" s="1754"/>
      <c r="AO59" s="1754"/>
      <c r="AP59" s="1754"/>
      <c r="AQ59" s="1754"/>
      <c r="AR59" s="1754"/>
      <c r="AS59" s="1754"/>
      <c r="AT59" s="1754"/>
      <c r="AU59" s="1754"/>
      <c r="AV59" s="1754"/>
      <c r="AW59" s="1754"/>
      <c r="AX59" s="1754"/>
      <c r="AY59" s="1754"/>
      <c r="AZ59" s="1754"/>
      <c r="BA59" s="1754"/>
      <c r="BB59" s="1754"/>
      <c r="BC59" s="1755"/>
      <c r="BE59" s="861"/>
      <c r="BF59" s="861" t="str">
        <f>IF(T59="","",T59)</f>
        <v/>
      </c>
      <c r="BG59" s="861"/>
      <c r="BH59" s="861"/>
    </row>
    <row s="32198" customFormat="1" customHeight="1" ht="0">
      <c r="A60" s="1709" t="s">
        <v>250</v>
      </c>
      <c r="B60" s="1709" t="s">
        <v>251</v>
      </c>
      <c r="C60" s="1709" t="s">
        <v>252</v>
      </c>
      <c r="D60" s="1680"/>
      <c r="E60" s="2528"/>
      <c r="F60" s="2528"/>
      <c r="G60" s="2527"/>
      <c r="H60" s="1680"/>
      <c r="I60" s="1680"/>
      <c r="J60" s="1680"/>
      <c r="K60" s="1680"/>
      <c r="L60" s="1830"/>
      <c r="M60" s="1681"/>
      <c r="N60" s="1681"/>
      <c r="P60" s="1682"/>
      <c r="Q60" s="1683"/>
      <c r="R60" s="1682"/>
      <c r="S60" s="1688"/>
      <c r="T60" s="1691"/>
      <c r="U60" s="1690"/>
      <c r="V60" s="1690"/>
      <c r="W60" s="1690"/>
      <c r="X60" s="1690"/>
      <c r="Y60" s="1690"/>
      <c r="Z60" s="1690"/>
      <c r="AA60" s="1690"/>
      <c r="AB60" s="1690"/>
      <c r="AC60" s="1690"/>
      <c r="AD60" s="1690"/>
      <c r="AE60" s="1690"/>
      <c r="AF60" s="1690"/>
      <c r="AG60" s="1690"/>
      <c r="AH60" s="1690"/>
      <c r="AI60" s="1690"/>
      <c r="AJ60" s="1690"/>
      <c r="AK60" s="1690"/>
      <c r="AL60" s="1690"/>
      <c r="AM60" s="1690"/>
      <c r="AN60" s="1690"/>
      <c r="AO60" s="1690"/>
      <c r="AP60" s="1690"/>
      <c r="AQ60" s="1690"/>
      <c r="AR60" s="1690"/>
      <c r="AS60" s="1690"/>
      <c r="AT60" s="1690"/>
      <c r="AU60" s="1690"/>
      <c r="AV60" s="1690"/>
      <c r="AW60" s="1690"/>
      <c r="AX60" s="1690"/>
      <c r="AY60" s="1690"/>
      <c r="AZ60" s="1690"/>
      <c r="BA60" s="1690"/>
      <c r="BB60" s="1690"/>
      <c r="BC60" s="1690"/>
      <c r="BE60" s="1150"/>
      <c r="BF60" s="1150" t="str">
        <f>IF(T60="","",T60)</f>
        <v/>
      </c>
      <c r="BG60" s="1150"/>
      <c r="BH60" s="1150"/>
    </row>
    <row s="32198" customFormat="1" customHeight="1" ht="0">
      <c r="A61" s="1709" t="s">
        <v>250</v>
      </c>
      <c r="B61" s="1709" t="s">
        <v>251</v>
      </c>
      <c r="C61" s="1680"/>
      <c r="D61" s="1680"/>
      <c r="E61" s="2528"/>
      <c r="F61" s="2527"/>
      <c r="G61" s="1680"/>
      <c r="H61" s="1680"/>
      <c r="I61" s="1680"/>
      <c r="J61" s="1680"/>
      <c r="K61" s="1680"/>
      <c r="L61" s="1830"/>
      <c r="M61" s="1687"/>
      <c r="N61" s="1687"/>
      <c r="P61" s="1682"/>
      <c r="Q61" s="1683"/>
      <c r="R61" s="1682"/>
      <c r="S61" s="1688"/>
      <c r="T61" s="1691" t="s">
        <v>262</v>
      </c>
      <c r="U61" s="1690"/>
      <c r="V61" s="1690"/>
      <c r="W61" s="1690"/>
      <c r="X61" s="1690"/>
      <c r="Y61" s="1690"/>
      <c r="Z61" s="1690"/>
      <c r="AA61" s="1690"/>
      <c r="AB61" s="1690"/>
      <c r="AC61" s="1690"/>
      <c r="AD61" s="1690"/>
      <c r="AE61" s="1690"/>
      <c r="AF61" s="1690"/>
      <c r="AG61" s="1690"/>
      <c r="AH61" s="1690"/>
      <c r="AI61" s="1690"/>
      <c r="AJ61" s="1690"/>
      <c r="AK61" s="1690"/>
      <c r="AL61" s="1690"/>
      <c r="AM61" s="1690"/>
      <c r="AN61" s="1690"/>
      <c r="AO61" s="1690"/>
      <c r="AP61" s="1690"/>
      <c r="AQ61" s="1690"/>
      <c r="AR61" s="1690"/>
      <c r="AS61" s="1690"/>
      <c r="AT61" s="1690"/>
      <c r="AU61" s="1690"/>
      <c r="AV61" s="1690"/>
      <c r="AW61" s="1690"/>
      <c r="AX61" s="1690"/>
      <c r="AY61" s="1690"/>
      <c r="AZ61" s="1690"/>
      <c r="BA61" s="1690"/>
      <c r="BB61" s="1690"/>
      <c r="BC61" s="1690"/>
      <c r="BE61" s="1150"/>
      <c r="BF61" s="1150" t="str">
        <f>IF(T61="","",T61)</f>
        <v>Добавить централизованную систему для дифференциации</v>
      </c>
      <c r="BG61" s="1150"/>
      <c r="BH61" s="1150"/>
    </row>
    <row s="32289" customFormat="1" customHeight="1" ht="0">
      <c r="A62" s="1709" t="s">
        <v>250</v>
      </c>
      <c r="B62" s="1709"/>
      <c r="C62" s="1709"/>
      <c r="D62" s="1709"/>
      <c r="E62" s="2527"/>
      <c r="F62" s="1709"/>
      <c r="G62" s="1709"/>
      <c r="H62" s="1709"/>
      <c r="I62" s="1709"/>
      <c r="J62" s="1709"/>
      <c r="K62" s="1709"/>
      <c r="L62" s="1712"/>
      <c r="M62" s="1687"/>
      <c r="N62" s="1687"/>
      <c r="O62" s="879"/>
      <c r="P62" s="741"/>
      <c r="Q62" s="1710"/>
      <c r="R62" s="741"/>
      <c r="S62" s="1688"/>
      <c r="T62" s="1691" t="s">
        <v>270</v>
      </c>
      <c r="U62" s="1690"/>
      <c r="V62" s="1690"/>
      <c r="W62" s="1690"/>
      <c r="X62" s="1690"/>
      <c r="Y62" s="1690"/>
      <c r="Z62" s="1690"/>
      <c r="AA62" s="1690"/>
      <c r="AB62" s="1690"/>
      <c r="AC62" s="1690"/>
      <c r="AD62" s="1690"/>
      <c r="AE62" s="1690"/>
      <c r="AF62" s="1690"/>
      <c r="AG62" s="1690"/>
      <c r="AH62" s="1690"/>
      <c r="AI62" s="1690"/>
      <c r="AJ62" s="1690"/>
      <c r="AK62" s="1690"/>
      <c r="AL62" s="1690"/>
      <c r="AM62" s="1690"/>
      <c r="AN62" s="1690"/>
      <c r="AO62" s="1690"/>
      <c r="AP62" s="1690"/>
      <c r="AQ62" s="1690"/>
      <c r="AR62" s="1690"/>
      <c r="AS62" s="1690"/>
      <c r="AT62" s="1690"/>
      <c r="AU62" s="1690"/>
      <c r="AV62" s="1690"/>
      <c r="AW62" s="1690"/>
      <c r="AX62" s="1690"/>
      <c r="AY62" s="1690"/>
      <c r="AZ62" s="1690"/>
      <c r="BA62" s="1690"/>
      <c r="BB62" s="1690"/>
      <c r="BC62" s="1690"/>
      <c r="BE62" s="861"/>
      <c r="BF62" s="861" t="str">
        <f>IF(T62="","",T62)</f>
        <v>Добавить территорию для дифференциации</v>
      </c>
      <c r="BG62" s="861"/>
      <c r="BH62" s="861"/>
    </row>
    <row s="32198" customFormat="1" customHeight="1" ht="0">
      <c r="A63" s="1680"/>
      <c r="B63" s="1680"/>
      <c r="C63" s="1680"/>
      <c r="D63" s="1680"/>
      <c r="E63" s="1709"/>
      <c r="F63" s="1680"/>
      <c r="G63" s="1680"/>
      <c r="H63" s="1680"/>
      <c r="I63" s="1680"/>
      <c r="J63" s="1680"/>
      <c r="K63" s="1680"/>
      <c r="L63" s="1830"/>
      <c r="M63" s="1687"/>
      <c r="N63" s="1687"/>
      <c r="P63" s="1682"/>
      <c r="Q63" s="1683"/>
      <c r="R63" s="1682"/>
      <c r="S63" s="1688"/>
      <c r="T63" s="1691" t="s">
        <v>294</v>
      </c>
      <c r="U63" s="1690"/>
      <c r="V63" s="1690"/>
      <c r="W63" s="1690"/>
      <c r="X63" s="1690"/>
      <c r="Y63" s="1690"/>
      <c r="Z63" s="1690"/>
      <c r="AA63" s="1690"/>
      <c r="AB63" s="1690"/>
      <c r="AC63" s="1690"/>
      <c r="AD63" s="1690"/>
      <c r="AE63" s="1690"/>
      <c r="AF63" s="1690"/>
      <c r="AG63" s="1690"/>
      <c r="AH63" s="1690"/>
      <c r="AI63" s="1690"/>
      <c r="AJ63" s="1690"/>
      <c r="AK63" s="1690"/>
      <c r="AL63" s="1690"/>
      <c r="AM63" s="1690"/>
      <c r="AN63" s="1690"/>
      <c r="AO63" s="1690"/>
      <c r="AP63" s="1690"/>
      <c r="AQ63" s="1690"/>
      <c r="AR63" s="1690"/>
      <c r="AS63" s="1690"/>
      <c r="AT63" s="1690"/>
      <c r="AU63" s="1690"/>
      <c r="AV63" s="1690"/>
      <c r="AW63" s="1690"/>
      <c r="AX63" s="1690"/>
      <c r="AY63" s="1690"/>
      <c r="AZ63" s="1690"/>
      <c r="BA63" s="1690"/>
      <c r="BB63" s="1690"/>
      <c r="BC63" s="1690"/>
      <c r="BE63" s="1150"/>
      <c r="BF63" s="1150" t="str">
        <f>IF(T63="","",T63)</f>
        <v>Добавить наименование тарифа</v>
      </c>
      <c r="BG63" s="1150"/>
      <c r="BH63" s="1150"/>
    </row>
    <row customHeight="1" ht="11.25">
      <c r="M64" s="1523"/>
      <c r="N64" s="1523"/>
      <c r="O64" s="898"/>
      <c r="P64" s="1523"/>
      <c r="Q64" s="1523"/>
      <c r="R64" s="1518"/>
      <c r="S64" s="1518"/>
      <c r="BD64" s="1518"/>
      <c r="BE64" s="1518"/>
      <c r="BF64" s="1518"/>
      <c r="BG64" s="1518"/>
      <c r="BH64" s="1518"/>
    </row>
    <row customHeight="1" ht="18.75">
      <c r="O65" s="898"/>
      <c r="S65" s="1618"/>
      <c r="T65" s="2526"/>
      <c r="U65" s="2526"/>
      <c r="V65" s="2526"/>
      <c r="W65" s="2526"/>
      <c r="X65" s="2526"/>
      <c r="Y65" s="2526"/>
      <c r="Z65" s="2526"/>
      <c r="AA65" s="2526"/>
      <c r="AB65" s="2526"/>
      <c r="AC65" s="2526"/>
      <c r="AD65" s="2526"/>
      <c r="AE65" s="2526"/>
      <c r="AF65" s="2526"/>
      <c r="AG65" s="2526"/>
      <c r="AH65" s="2526"/>
      <c r="AI65" s="2526"/>
      <c r="AJ65" s="2526"/>
      <c r="AK65" s="2526"/>
      <c r="AL65" s="2526"/>
      <c r="AM65" s="2526"/>
      <c r="AN65" s="2526"/>
      <c r="AO65" s="2526"/>
      <c r="AP65" s="2526"/>
      <c r="AQ65" s="2526"/>
      <c r="AR65" s="2526"/>
      <c r="AS65" s="2526"/>
      <c r="AT65" s="2526"/>
      <c r="AU65" s="2526"/>
      <c r="AV65" s="2526"/>
      <c r="AW65" s="2526"/>
      <c r="AX65" s="2526"/>
      <c r="AY65" s="2526"/>
      <c r="AZ65" s="2526"/>
      <c r="BA65" s="2526"/>
      <c r="BB65" s="2526"/>
      <c r="BC65" s="2526"/>
    </row>
    <row customHeight="1" ht="14.25">
      <c r="O66" s="898"/>
      <c r="T66" s="1815"/>
      <c r="U66" s="1815"/>
      <c r="V66" s="1815"/>
      <c r="W66" s="1815"/>
      <c r="X66" s="1815"/>
      <c r="Y66" s="1815"/>
      <c r="Z66" s="1815"/>
      <c r="AA66" s="1815"/>
      <c r="AB66" s="1815"/>
      <c r="AC66" s="1815"/>
      <c r="AD66" s="1815"/>
      <c r="AE66" s="1815"/>
      <c r="AF66" s="1815"/>
      <c r="AG66" s="1815"/>
      <c r="AH66" s="1815"/>
      <c r="AI66" s="1815"/>
      <c r="AJ66" s="1815"/>
      <c r="AK66" s="1815"/>
      <c r="AL66" s="1815"/>
      <c r="AM66" s="1815"/>
      <c r="AN66" s="1815"/>
      <c r="AO66" s="1815"/>
      <c r="AP66" s="1815"/>
      <c r="AQ66" s="1815"/>
      <c r="AR66" s="1815"/>
      <c r="AS66" s="1815"/>
      <c r="AT66" s="1815"/>
      <c r="AU66" s="1815"/>
      <c r="AV66" s="1815"/>
      <c r="AW66" s="1815"/>
      <c r="AX66" s="1815"/>
      <c r="AY66" s="1815"/>
      <c r="AZ66" s="1815"/>
      <c r="BA66" s="1815"/>
      <c r="BB66" s="1815"/>
      <c r="BC66" s="1815"/>
    </row>
    <row customHeight="1" ht="18.75">
      <c r="O67" s="898"/>
      <c r="S67" s="1618"/>
      <c r="T67" s="2526"/>
      <c r="U67" s="2526"/>
      <c r="V67" s="2526"/>
      <c r="W67" s="2526"/>
      <c r="X67" s="2526"/>
      <c r="Y67" s="2526"/>
      <c r="Z67" s="2526"/>
      <c r="AA67" s="2526"/>
      <c r="AB67" s="2526"/>
      <c r="AC67" s="2526"/>
      <c r="AD67" s="2526"/>
      <c r="AE67" s="2526"/>
      <c r="AF67" s="2526"/>
      <c r="AG67" s="2526"/>
      <c r="AH67" s="2526"/>
      <c r="AI67" s="2526"/>
      <c r="AJ67" s="2526"/>
      <c r="AK67" s="2526"/>
      <c r="AL67" s="2526"/>
      <c r="AM67" s="2526"/>
      <c r="AN67" s="2526"/>
      <c r="AO67" s="2526"/>
      <c r="AP67" s="2526"/>
      <c r="AQ67" s="2526"/>
      <c r="AR67" s="2526"/>
      <c r="AS67" s="2526"/>
      <c r="AT67" s="2526"/>
      <c r="AU67" s="2526"/>
      <c r="AV67" s="2526"/>
      <c r="AW67" s="2526"/>
      <c r="AX67" s="2526"/>
      <c r="AY67" s="2526"/>
      <c r="AZ67" s="2526"/>
      <c r="BA67" s="2526"/>
      <c r="BB67" s="2526"/>
      <c r="BC67" s="2526"/>
    </row>
    <row customHeight="1" ht="14.25">
      <c r="O68" s="898"/>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984F06-B033-B4A2-2641-CFFCB8B012DA}"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217" width="10.57421875" hidden="1"/>
    <col min="2" max="2" style="32217" width="11.00390625" hidden="1" customWidth="1"/>
    <col min="3" max="3" style="32217" width="10.57421875" hidden="1"/>
    <col min="4" max="4" style="32217" width="11.8515625" hidden="1" customWidth="1"/>
    <col min="5" max="5" style="32217" width="10.00390625" hidden="1" customWidth="1"/>
    <col min="6" max="6" style="32217" width="8.7109375" hidden="1" customWidth="1"/>
    <col min="7" max="7" style="32217" width="7.57421875" hidden="1" customWidth="1"/>
    <col min="8" max="8" style="32217" width="11.421875" hidden="1" customWidth="1"/>
    <col min="9" max="9" style="32217" width="14.140625" hidden="1" customWidth="1"/>
    <col min="10" max="10" style="32217" width="9.8515625" hidden="1" customWidth="1"/>
    <col min="11" max="11" style="32217" width="14.7109375" hidden="1" customWidth="1"/>
    <col min="12" max="12" style="32566" width="19.140625" hidden="1" customWidth="1"/>
    <col min="13" max="14" style="32298" width="12.28125" hidden="1" customWidth="1"/>
    <col min="15" max="15" style="32298" width="23.421875" hidden="1" customWidth="1"/>
    <col min="16" max="16" style="32567" width="3.7109375" customWidth="1"/>
    <col min="17" max="18" style="32300" width="3.7109375" customWidth="1"/>
    <col min="19" max="19" style="32301" width="12.7109375" customWidth="1"/>
    <col min="20" max="20" style="32302" width="35.7109375" customWidth="1"/>
    <col min="21" max="21" style="32302" width="0.140625" customWidth="1"/>
    <col min="22" max="24" style="32302" width="24.7109375" hidden="1" customWidth="1"/>
    <col min="25" max="25" style="32302" width="11.7109375" hidden="1" customWidth="1"/>
    <col min="26" max="26" style="32302" width="3.7109375" hidden="1" customWidth="1"/>
    <col min="27" max="27" style="32302" width="11.7109375" hidden="1" customWidth="1"/>
    <col min="28" max="28" style="32302" width="8.57421875" hidden="1" customWidth="1"/>
    <col min="29" max="31" style="32302" width="24.7109375" customWidth="1"/>
    <col min="32" max="32" style="32302" width="11.7109375" customWidth="1"/>
    <col min="33" max="33" style="32302" width="3.7109375" customWidth="1"/>
    <col min="34" max="34" style="32302" width="11.7109375" customWidth="1"/>
    <col min="35" max="35" style="32302" width="8.57421875" hidden="1" customWidth="1"/>
    <col min="36" max="36" style="32302" width="4.7109375" customWidth="1"/>
    <col min="37" max="37" style="32302" width="115.7109375" customWidth="1"/>
    <col min="38" max="39" style="32289" width="10.57421875"/>
    <col min="40" max="40" style="32289" width="11.140625" customWidth="1"/>
    <col min="41" max="42" style="32289" width="10.57421875"/>
  </cols>
  <sheetData>
    <row customHeight="1" ht="14.25" hidden="1">
      <c r="X1" s="688"/>
      <c r="Y1" s="688"/>
      <c r="AE1" s="688"/>
      <c r="AF1" s="688"/>
    </row>
    <row customHeight="1" ht="23.25" hidden="1">
      <c r="A2" s="1729"/>
      <c r="B2" s="1729"/>
      <c r="C2" s="1729"/>
      <c r="D2" s="1729"/>
      <c r="E2" s="2527">
        <v>1</v>
      </c>
      <c r="F2" s="1729"/>
      <c r="G2" s="1729"/>
      <c r="H2" s="1729"/>
      <c r="I2" s="1729"/>
      <c r="J2" s="1729"/>
      <c r="K2" s="1729"/>
      <c r="L2" s="1730"/>
      <c r="M2" s="1731"/>
      <c r="N2" s="1731"/>
      <c r="O2" s="1731"/>
      <c r="P2" s="722"/>
      <c r="Q2" s="721"/>
      <c r="R2" s="716"/>
      <c r="S2" s="1859">
        <f>INDEX(PT_DIFFERENTIATION_NUM_NTAR,MATCH(A2,PT_DIFFERENTIATION_NTAR_ID,0))</f>
      </c>
      <c r="T2" s="659" t="s">
        <v>131</v>
      </c>
      <c r="U2" s="661"/>
      <c r="V2" s="2521"/>
      <c r="W2" s="2522"/>
      <c r="X2" s="2522"/>
      <c r="Y2" s="2522"/>
      <c r="Z2" s="2522"/>
      <c r="AA2" s="2522"/>
      <c r="AB2" s="2523"/>
      <c r="AC2" s="2521">
        <f>INDEX(PT_DIFFERENTIATION_NTAR,MATCH(A2,PT_DIFFERENTIATION_NTAR_ID,0))</f>
      </c>
      <c r="AD2" s="2522"/>
      <c r="AE2" s="2522"/>
      <c r="AF2" s="2522"/>
      <c r="AG2" s="2522"/>
      <c r="AH2" s="2522"/>
      <c r="AI2" s="2522"/>
      <c r="AJ2" s="2523"/>
      <c r="AK2"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861"/>
      <c r="AN2" s="861" t="str">
        <f>IF(T2="","",T2)</f>
        <v>Наименование тарифа</v>
      </c>
      <c r="AO2" s="861"/>
      <c r="AP2" s="861"/>
    </row>
    <row customHeight="1" ht="23.25" hidden="1">
      <c r="A3" s="1729"/>
      <c r="B3" s="1729"/>
      <c r="C3" s="1729"/>
      <c r="D3" s="1729"/>
      <c r="E3" s="2528"/>
      <c r="F3" s="2527">
        <v>1</v>
      </c>
      <c r="G3" s="1729"/>
      <c r="H3" s="1729"/>
      <c r="I3" s="1729"/>
      <c r="J3" s="1729"/>
      <c r="K3" s="1729"/>
      <c r="L3" s="1730"/>
      <c r="M3" s="1731"/>
      <c r="N3" s="1731"/>
      <c r="O3" s="1731"/>
      <c r="P3" s="1853"/>
      <c r="Q3" s="713"/>
      <c r="R3" s="714"/>
      <c r="S3" s="1859">
        <f>INDEX(PT_DIFFERENTIATION_NUM_TER,MATCH(B3,PT_DIFFERENTIATION_TER_ID,0))</f>
      </c>
      <c r="T3" s="669" t="s">
        <v>438</v>
      </c>
      <c r="U3" s="661"/>
      <c r="V3" s="2521"/>
      <c r="W3" s="2522"/>
      <c r="X3" s="2522"/>
      <c r="Y3" s="2522"/>
      <c r="Z3" s="2522"/>
      <c r="AA3" s="2522"/>
      <c r="AB3" s="2523"/>
      <c r="AC3" s="2521">
        <f>INDEX(PT_DIFFERENTIATION_TER,MATCH(B3,PT_DIFFERENTIATION_TER_ID,0))</f>
      </c>
      <c r="AD3" s="2522"/>
      <c r="AE3" s="2522"/>
      <c r="AF3" s="2522"/>
      <c r="AG3" s="2522"/>
      <c r="AH3" s="2522"/>
      <c r="AI3" s="2522"/>
      <c r="AJ3" s="2523"/>
      <c r="AK3" s="1623" t="s">
        <v>439</v>
      </c>
      <c r="AM3" s="861"/>
      <c r="AN3" s="861" t="str">
        <f>IF(T3="","",T3)</f>
        <v>Территория действия тарифа</v>
      </c>
      <c r="AO3" s="861"/>
      <c r="AP3" s="861"/>
    </row>
    <row customHeight="1" ht="23.25" hidden="1">
      <c r="A4" s="1729"/>
      <c r="B4" s="1729"/>
      <c r="C4" s="1729"/>
      <c r="D4" s="1729"/>
      <c r="E4" s="2528"/>
      <c r="F4" s="2528"/>
      <c r="G4" s="2527">
        <v>1</v>
      </c>
      <c r="H4" s="1729"/>
      <c r="I4" s="1729"/>
      <c r="J4" s="1729"/>
      <c r="K4" s="1729"/>
      <c r="L4" s="1730"/>
      <c r="M4" s="1731"/>
      <c r="N4" s="1731"/>
      <c r="O4" s="1731"/>
      <c r="P4" s="715"/>
      <c r="Q4" s="713"/>
      <c r="R4" s="714"/>
      <c r="S4" s="1859">
        <f>INDEX(PT_DIFFERENTIATION_NUM_CS,MATCH(C4,PT_DIFFERENTIATION_CS_ID,0))</f>
      </c>
      <c r="T4" s="670" t="s">
        <v>555</v>
      </c>
      <c r="U4" s="661"/>
      <c r="V4" s="2521"/>
      <c r="W4" s="2522"/>
      <c r="X4" s="2522"/>
      <c r="Y4" s="2522"/>
      <c r="Z4" s="2522"/>
      <c r="AA4" s="2522"/>
      <c r="AB4" s="2523"/>
      <c r="AC4" s="2521">
        <f>INDEX(PT_DIFFERENTIATION_CS,MATCH(C4,PT_DIFFERENTIATION_CS_ID,0))</f>
      </c>
      <c r="AD4" s="2522"/>
      <c r="AE4" s="2522"/>
      <c r="AF4" s="2522"/>
      <c r="AG4" s="2522"/>
      <c r="AH4" s="2522"/>
      <c r="AI4" s="2522"/>
      <c r="AJ4" s="2523"/>
      <c r="AK4" s="1623" t="s">
        <v>556</v>
      </c>
      <c r="AM4" s="861"/>
      <c r="AN4" s="861" t="str">
        <f>IF(T4="","",T4)</f>
        <v>Наименование централизованной системы водоотведения</v>
      </c>
      <c r="AO4" s="861"/>
      <c r="AP4" s="861"/>
    </row>
    <row customHeight="1" ht="23.25" hidden="1">
      <c r="A5" s="1729"/>
      <c r="B5" s="1729"/>
      <c r="C5" s="1729"/>
      <c r="D5" s="1729"/>
      <c r="E5" s="2528"/>
      <c r="F5" s="2528"/>
      <c r="G5" s="2528"/>
      <c r="H5" s="2528"/>
      <c r="I5" s="2529">
        <f>S4&amp;".1"</f>
      </c>
      <c r="J5" s="1729"/>
      <c r="K5" s="1729"/>
      <c r="L5" s="1730"/>
      <c r="P5" s="2531">
        <v>1</v>
      </c>
      <c r="Q5" s="1847"/>
      <c r="R5" s="717"/>
      <c r="S5" s="1859">
        <f>$I5</f>
      </c>
      <c r="T5" s="646" t="s">
        <v>522</v>
      </c>
      <c r="U5" s="661"/>
      <c r="V5" s="2614"/>
      <c r="W5" s="2615"/>
      <c r="X5" s="2615"/>
      <c r="Y5" s="2615"/>
      <c r="Z5" s="2615"/>
      <c r="AA5" s="2615"/>
      <c r="AB5" s="2616"/>
      <c r="AC5" s="2617"/>
      <c r="AD5" s="2618"/>
      <c r="AE5" s="2618"/>
      <c r="AF5" s="2618"/>
      <c r="AG5" s="2618"/>
      <c r="AH5" s="2618"/>
      <c r="AI5" s="2618"/>
      <c r="AJ5" s="2619"/>
      <c r="AK5" s="1623" t="s">
        <v>523</v>
      </c>
      <c r="AM5" s="861"/>
      <c r="AN5" s="861" t="str">
        <f>IF(T5="","",T5)</f>
        <v>Наименование признака дифференциации</v>
      </c>
      <c r="AO5" s="861"/>
      <c r="AP5" s="861"/>
    </row>
    <row customHeight="1" ht="23.25" hidden="1">
      <c r="A6" s="1729"/>
      <c r="B6" s="1729"/>
      <c r="C6" s="1729"/>
      <c r="D6" s="1729"/>
      <c r="E6" s="2528"/>
      <c r="F6" s="2528"/>
      <c r="G6" s="2528"/>
      <c r="H6" s="2528"/>
      <c r="I6" s="2530"/>
      <c r="J6" s="2529">
        <f>I5&amp;".1"</f>
      </c>
      <c r="K6" s="1729"/>
      <c r="L6" s="1730" t="s">
        <v>447</v>
      </c>
      <c r="P6" s="2531"/>
      <c r="Q6" s="2531">
        <v>1</v>
      </c>
      <c r="R6" s="718"/>
      <c r="S6" s="1859">
        <f>$J6</f>
      </c>
      <c r="T6" s="647" t="s">
        <v>448</v>
      </c>
      <c r="U6" s="661"/>
      <c r="V6" s="2515"/>
      <c r="W6" s="2516"/>
      <c r="X6" s="2516"/>
      <c r="Y6" s="2516"/>
      <c r="Z6" s="2516"/>
      <c r="AA6" s="2516"/>
      <c r="AB6" s="2517"/>
      <c r="AC6" s="2515"/>
      <c r="AD6" s="2516"/>
      <c r="AE6" s="2516"/>
      <c r="AF6" s="2516"/>
      <c r="AG6" s="2516"/>
      <c r="AH6" s="2516"/>
      <c r="AI6" s="2516"/>
      <c r="AJ6" s="2517"/>
      <c r="AK6" s="1673" t="s">
        <v>524</v>
      </c>
      <c r="AM6" s="861"/>
      <c r="AN6" s="861" t="str">
        <f>IF(T6="","",T6)</f>
        <v>Группа потребителей</v>
      </c>
      <c r="AO6" s="861"/>
      <c r="AP6" s="861"/>
    </row>
    <row customHeight="1" ht="23.25" hidden="1">
      <c r="A7" s="1729"/>
      <c r="B7" s="1729"/>
      <c r="C7" s="1729"/>
      <c r="D7" s="1729"/>
      <c r="E7" s="2528"/>
      <c r="F7" s="2528"/>
      <c r="G7" s="2528"/>
      <c r="H7" s="2528"/>
      <c r="I7" s="2530"/>
      <c r="J7" s="2530"/>
      <c r="K7" s="2529">
        <f>J6&amp;".1"</f>
      </c>
      <c r="L7" s="1730"/>
      <c r="P7" s="2531"/>
      <c r="Q7" s="2531"/>
      <c r="R7" s="718">
        <v>1</v>
      </c>
      <c r="S7" s="1859">
        <f>$K7</f>
      </c>
      <c r="T7" s="1803"/>
      <c r="U7" s="661"/>
      <c r="V7" s="1112"/>
      <c r="W7" s="1112"/>
      <c r="X7" s="1622"/>
      <c r="Y7" s="2532"/>
      <c r="Z7" s="2402" t="s">
        <v>66</v>
      </c>
      <c r="AA7" s="2532"/>
      <c r="AB7" s="2402" t="s">
        <v>66</v>
      </c>
      <c r="AC7" s="1112"/>
      <c r="AD7" s="1112"/>
      <c r="AE7" s="1622"/>
      <c r="AF7" s="2532"/>
      <c r="AG7" s="2402" t="s">
        <v>66</v>
      </c>
      <c r="AH7" s="2534"/>
      <c r="AI7" s="2402" t="s">
        <v>66</v>
      </c>
      <c r="AJ7" s="1804"/>
      <c r="AK7" s="26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72">
        <f>STRCHECKDATE(V8:AJ8)</f>
      </c>
      <c r="AM7" s="861"/>
      <c r="AN7" s="861" t="str">
        <f>IF(T7="","",T7)</f>
        <v/>
      </c>
      <c r="AO7" s="861"/>
      <c r="AP7" s="861"/>
    </row>
    <row customHeight="1" ht="14.25" hidden="1">
      <c r="A8" s="1729"/>
      <c r="B8" s="1729"/>
      <c r="C8" s="1729"/>
      <c r="D8" s="1729"/>
      <c r="E8" s="2528"/>
      <c r="F8" s="2528"/>
      <c r="G8" s="2528"/>
      <c r="H8" s="2528"/>
      <c r="I8" s="2530"/>
      <c r="J8" s="2530"/>
      <c r="K8" s="2529"/>
      <c r="L8" s="1730"/>
      <c r="P8" s="2531"/>
      <c r="Q8" s="2531"/>
      <c r="R8" s="718"/>
      <c r="S8" s="1856"/>
      <c r="T8" s="661"/>
      <c r="U8" s="661"/>
      <c r="V8" s="686"/>
      <c r="W8" s="686"/>
      <c r="X8" s="689" t="str">
        <f>Y7&amp;"-"&amp;AA7</f>
        <v>-</v>
      </c>
      <c r="Y8" s="2533"/>
      <c r="Z8" s="2402"/>
      <c r="AA8" s="2533"/>
      <c r="AB8" s="2402"/>
      <c r="AC8" s="686"/>
      <c r="AD8" s="686"/>
      <c r="AE8" s="689" t="str">
        <f>AF7&amp;"-"&amp;AH7</f>
        <v>-</v>
      </c>
      <c r="AF8" s="2533"/>
      <c r="AG8" s="2402"/>
      <c r="AH8" s="2535"/>
      <c r="AI8" s="2402"/>
      <c r="AJ8" s="1805"/>
      <c r="AK8" s="2620"/>
      <c r="AM8" s="861"/>
      <c r="AN8" s="861" t="str">
        <f>IF(T8="","",T8)</f>
        <v/>
      </c>
      <c r="AO8" s="861"/>
      <c r="AP8" s="861"/>
    </row>
    <row customHeight="1" ht="21" hidden="1">
      <c r="A9" s="1729"/>
      <c r="B9" s="1729"/>
      <c r="C9" s="1729"/>
      <c r="D9" s="1729"/>
      <c r="E9" s="2528"/>
      <c r="F9" s="2528"/>
      <c r="G9" s="2528"/>
      <c r="H9" s="2528"/>
      <c r="I9" s="2530"/>
      <c r="J9" s="2529"/>
      <c r="K9" s="1729"/>
      <c r="L9" s="1730"/>
      <c r="P9" s="2531"/>
      <c r="Q9" s="2531"/>
      <c r="R9" s="717"/>
      <c r="S9" s="1644"/>
      <c r="T9" s="648" t="s">
        <v>525</v>
      </c>
      <c r="U9" s="728"/>
      <c r="V9" s="728"/>
      <c r="W9" s="728"/>
      <c r="X9" s="728"/>
      <c r="Y9" s="728"/>
      <c r="Z9" s="728"/>
      <c r="AA9" s="728"/>
      <c r="AB9" s="728"/>
      <c r="AC9" s="728"/>
      <c r="AD9" s="728"/>
      <c r="AE9" s="728"/>
      <c r="AF9" s="728"/>
      <c r="AG9" s="728"/>
      <c r="AH9" s="728"/>
      <c r="AI9" s="728"/>
      <c r="AJ9" s="728"/>
      <c r="AK9" s="1623" t="s">
        <v>526</v>
      </c>
      <c r="AM9" s="861"/>
      <c r="AN9" s="861" t="str">
        <f>IF(T9="","",T9)</f>
        <v>Добавить значение признака дифференциации</v>
      </c>
      <c r="AO9" s="861"/>
      <c r="AP9" s="861"/>
    </row>
    <row customHeight="1" ht="21" hidden="1">
      <c r="A10" s="1729"/>
      <c r="B10" s="1729"/>
      <c r="C10" s="1729"/>
      <c r="D10" s="1729"/>
      <c r="E10" s="2528"/>
      <c r="F10" s="2528"/>
      <c r="G10" s="2528"/>
      <c r="H10" s="2528"/>
      <c r="I10" s="2529"/>
      <c r="J10" s="1729"/>
      <c r="K10" s="1729"/>
      <c r="L10" s="1730"/>
      <c r="P10" s="2531"/>
      <c r="Q10" s="1847"/>
      <c r="R10" s="717"/>
      <c r="S10" s="1644"/>
      <c r="T10" s="726" t="s">
        <v>453</v>
      </c>
      <c r="U10" s="728"/>
      <c r="V10" s="728"/>
      <c r="W10" s="728"/>
      <c r="X10" s="728"/>
      <c r="Y10" s="728"/>
      <c r="Z10" s="728"/>
      <c r="AA10" s="728"/>
      <c r="AB10" s="727"/>
      <c r="AC10" s="728"/>
      <c r="AD10" s="728"/>
      <c r="AE10" s="728"/>
      <c r="AF10" s="728"/>
      <c r="AG10" s="728"/>
      <c r="AH10" s="728"/>
      <c r="AI10" s="727"/>
      <c r="AJ10" s="728"/>
      <c r="AK10" s="1806"/>
      <c r="AM10" s="861"/>
      <c r="AN10" s="861" t="str">
        <f>IF(T10="","",T10)</f>
        <v>Добавить группу потребителей</v>
      </c>
      <c r="AO10" s="861"/>
      <c r="AP10" s="861"/>
    </row>
    <row customHeight="1" ht="21" hidden="1">
      <c r="A11" s="1729"/>
      <c r="B11" s="1729"/>
      <c r="C11" s="1729"/>
      <c r="D11" s="1729"/>
      <c r="E11" s="2528"/>
      <c r="F11" s="2528"/>
      <c r="G11" s="2528"/>
      <c r="H11" s="2527"/>
      <c r="I11" s="1729"/>
      <c r="J11" s="1729"/>
      <c r="K11" s="1729"/>
      <c r="L11" s="1730"/>
      <c r="M11" s="1731"/>
      <c r="N11" s="1731"/>
      <c r="O11" s="898"/>
      <c r="P11" s="721"/>
      <c r="Q11" s="736"/>
      <c r="R11" s="716"/>
      <c r="S11" s="1644"/>
      <c r="T11" s="733" t="s">
        <v>527</v>
      </c>
      <c r="U11" s="728"/>
      <c r="V11" s="728"/>
      <c r="W11" s="728"/>
      <c r="X11" s="728"/>
      <c r="Y11" s="728"/>
      <c r="Z11" s="728"/>
      <c r="AA11" s="728"/>
      <c r="AB11" s="727"/>
      <c r="AC11" s="728"/>
      <c r="AD11" s="728"/>
      <c r="AE11" s="728"/>
      <c r="AF11" s="728"/>
      <c r="AG11" s="728"/>
      <c r="AH11" s="728"/>
      <c r="AI11" s="727"/>
      <c r="AJ11" s="728"/>
      <c r="AK11" s="664"/>
      <c r="AM11" s="861"/>
      <c r="AN11" s="861" t="str">
        <f>IF(T11="","",T11)</f>
        <v>Добавить наименование признака дифференциации</v>
      </c>
      <c r="AO11" s="861"/>
      <c r="AP11" s="861"/>
    </row>
    <row s="32198" customFormat="1" customHeight="1" ht="14.25" hidden="1">
      <c r="A12" s="1709"/>
      <c r="B12" s="1709"/>
      <c r="C12" s="1680"/>
      <c r="D12" s="1680"/>
      <c r="E12" s="2528"/>
      <c r="F12" s="2527"/>
      <c r="G12" s="1680"/>
      <c r="H12" s="1680"/>
      <c r="I12" s="1680"/>
      <c r="J12" s="1680"/>
      <c r="K12" s="1680"/>
      <c r="L12" s="1860"/>
      <c r="M12" s="1687"/>
      <c r="N12" s="1687"/>
      <c r="P12" s="1682"/>
      <c r="Q12" s="1683"/>
      <c r="R12" s="1682"/>
      <c r="S12" s="1688"/>
      <c r="T12" s="1691" t="s">
        <v>262</v>
      </c>
      <c r="U12" s="1690"/>
      <c r="V12" s="1690"/>
      <c r="W12" s="1690"/>
      <c r="X12" s="1690"/>
      <c r="Y12" s="1690"/>
      <c r="Z12" s="1690"/>
      <c r="AA12" s="1690"/>
      <c r="AB12" s="1690"/>
      <c r="AC12" s="1690"/>
      <c r="AD12" s="1690"/>
      <c r="AE12" s="1690"/>
      <c r="AF12" s="1690"/>
      <c r="AG12" s="1690"/>
      <c r="AH12" s="1690"/>
      <c r="AI12" s="1690"/>
      <c r="AJ12" s="1690"/>
      <c r="AK12" s="1690"/>
      <c r="AM12" s="1150"/>
      <c r="AN12" s="1150" t="str">
        <f>IF(T12="","",T12)</f>
        <v>Добавить централизованную систему для дифференциации</v>
      </c>
      <c r="AO12" s="1150"/>
      <c r="AP12" s="1150"/>
    </row>
    <row s="32289" customFormat="1" customHeight="1" ht="14.25" hidden="1">
      <c r="A13" s="1709"/>
      <c r="B13" s="1709"/>
      <c r="C13" s="1709"/>
      <c r="D13" s="1709"/>
      <c r="E13" s="2527"/>
      <c r="F13" s="1709"/>
      <c r="G13" s="1709"/>
      <c r="H13" s="1709"/>
      <c r="I13" s="1709"/>
      <c r="J13" s="1709"/>
      <c r="K13" s="1709"/>
      <c r="L13" s="1712"/>
      <c r="M13" s="1687"/>
      <c r="N13" s="1687"/>
      <c r="O13" s="879"/>
      <c r="P13" s="741"/>
      <c r="Q13" s="1710"/>
      <c r="R13" s="741"/>
      <c r="S13" s="1688"/>
      <c r="T13" s="1691" t="s">
        <v>270</v>
      </c>
      <c r="U13" s="1690"/>
      <c r="V13" s="1690"/>
      <c r="W13" s="1690"/>
      <c r="X13" s="1690"/>
      <c r="Y13" s="1690"/>
      <c r="Z13" s="1690"/>
      <c r="AA13" s="1690"/>
      <c r="AB13" s="1690"/>
      <c r="AC13" s="1690"/>
      <c r="AD13" s="1690"/>
      <c r="AE13" s="1690"/>
      <c r="AF13" s="1690"/>
      <c r="AG13" s="1690"/>
      <c r="AH13" s="1690"/>
      <c r="AI13" s="1690"/>
      <c r="AJ13" s="1690"/>
      <c r="AK13" s="1690"/>
      <c r="AM13" s="861"/>
      <c r="AN13" s="861" t="str">
        <f>IF(T13="","",T13)</f>
        <v>Добавить территорию для дифференциации</v>
      </c>
      <c r="AO13" s="861"/>
      <c r="AP13" s="861"/>
    </row>
    <row customHeight="1" ht="14.25" hidden="1">
      <c r="AB14" s="688"/>
      <c r="AI14" s="688"/>
    </row>
    <row customHeight="1" ht="14.25" hidden="1">
      <c r="AC15" s="1726"/>
      <c r="AD15" s="1726"/>
      <c r="AE15" s="1727"/>
      <c r="AF15" s="2525"/>
      <c r="AG15" s="2524" t="s">
        <v>66</v>
      </c>
      <c r="AH15" s="2525"/>
      <c r="AI15" s="2524" t="s">
        <v>66</v>
      </c>
    </row>
    <row customHeight="1" ht="14.25" hidden="1">
      <c r="AC16" s="1726"/>
      <c r="AD16" s="1726"/>
      <c r="AE16" s="689" t="str">
        <f>AF15&amp;"-"&amp;AH15</f>
        <v>-</v>
      </c>
      <c r="AF16" s="2524"/>
      <c r="AG16" s="2524"/>
      <c r="AH16" s="2524"/>
      <c r="AI16" s="2524"/>
    </row>
    <row customHeight="1" ht="14.25" hidden="1">
      <c r="AI17" s="688"/>
    </row>
    <row s="32217" customFormat="1" customHeight="1" ht="22.5" hidden="1">
      <c r="L18" s="1844"/>
      <c r="M18" s="1728"/>
      <c r="N18" s="1728"/>
      <c r="O18" s="1733" t="s">
        <v>456</v>
      </c>
      <c r="P18" s="1728"/>
      <c r="Q18" s="1737"/>
      <c r="R18" s="1737"/>
      <c r="S18" s="1090"/>
      <c r="Y18" s="1733"/>
      <c r="AA18" s="1733"/>
      <c r="AB18" s="1732"/>
      <c r="AF18" s="1733"/>
      <c r="AH18" s="1733"/>
      <c r="AI18" s="1732"/>
      <c r="AL18" s="872"/>
      <c r="AM18" s="872"/>
      <c r="AN18" s="872"/>
      <c r="AO18" s="872"/>
      <c r="AP18" s="872"/>
    </row>
    <row s="32217" customFormat="1" customHeight="1" ht="14.25" hidden="1">
      <c r="L19" s="1844"/>
      <c r="M19" s="1728"/>
      <c r="N19" s="1728"/>
      <c r="O19" s="1728"/>
      <c r="P19" s="1728"/>
      <c r="Q19" s="1737"/>
      <c r="R19" s="1737"/>
      <c r="S19" s="1090"/>
      <c r="AB19" s="1732"/>
      <c r="AI19" s="1732"/>
      <c r="AL19" s="872"/>
      <c r="AM19" s="872"/>
      <c r="AN19" s="872"/>
      <c r="AO19" s="872"/>
      <c r="AP19" s="872"/>
    </row>
    <row s="32217" customFormat="1" customHeight="1" ht="12" hidden="1">
      <c r="L20" s="1844"/>
      <c r="M20" s="1728"/>
      <c r="N20" s="1728"/>
      <c r="O20" s="1730" t="s">
        <v>457</v>
      </c>
      <c r="P20" s="1728"/>
      <c r="Q20" s="1808"/>
      <c r="R20" s="1808"/>
      <c r="S20" s="1090"/>
      <c r="T20" s="1523" t="s">
        <v>458</v>
      </c>
      <c r="Z20" s="547" t="s">
        <v>459</v>
      </c>
      <c r="AB20" s="547" t="s">
        <v>460</v>
      </c>
      <c r="AC20" s="1523" t="s">
        <v>458</v>
      </c>
      <c r="AG20" s="547" t="s">
        <v>461</v>
      </c>
      <c r="AI20" s="547" t="s">
        <v>460</v>
      </c>
    </row>
    <row customHeight="1" ht="14.25" hidden="1">
      <c r="O21" s="1730"/>
    </row>
    <row customHeight="1" ht="14.25" hidden="1">
      <c r="O22" s="1730"/>
    </row>
    <row customHeight="1" ht="14.25">
      <c r="Q23" s="737"/>
      <c r="R23" s="737"/>
      <c r="S23" s="1641"/>
      <c r="T23" s="724"/>
      <c r="U23" s="724"/>
      <c r="V23" s="870"/>
      <c r="W23" s="870"/>
      <c r="X23" s="870"/>
      <c r="Y23" s="870"/>
      <c r="Z23" s="870"/>
      <c r="AA23" s="870"/>
      <c r="AB23" s="870"/>
      <c r="AC23" s="870"/>
      <c r="AD23" s="870"/>
      <c r="AE23" s="870"/>
      <c r="AF23" s="870"/>
      <c r="AG23" s="870"/>
      <c r="AH23" s="870"/>
      <c r="AI23" s="870"/>
    </row>
    <row customHeight="1" ht="14.25">
      <c r="Q24" s="737"/>
      <c r="R24" s="737"/>
      <c r="S24" s="256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560"/>
      <c r="U24" s="2560"/>
      <c r="V24" s="2560"/>
      <c r="W24" s="2560"/>
      <c r="X24" s="2560"/>
      <c r="Y24" s="2560"/>
      <c r="Z24" s="2560"/>
      <c r="AA24" s="2560"/>
      <c r="AB24" s="2560"/>
      <c r="AC24" s="2560"/>
      <c r="AD24" s="2560"/>
      <c r="AE24" s="2560"/>
      <c r="AF24" s="2560"/>
      <c r="AG24" s="2560"/>
      <c r="AH24" s="2560"/>
      <c r="AI24" s="1608"/>
    </row>
    <row customHeight="1" ht="14.25">
      <c r="Q25" s="737"/>
      <c r="R25" s="737"/>
      <c r="S25" s="2561" t="str">
        <f>IF(org=0,"Не определено",org)</f>
        <v>АО "Мурманэнергосбыт"</v>
      </c>
      <c r="T25" s="2561"/>
      <c r="U25" s="2561"/>
      <c r="V25" s="2561"/>
      <c r="W25" s="2561"/>
      <c r="X25" s="2561"/>
      <c r="Y25" s="2561"/>
      <c r="Z25" s="2561"/>
      <c r="AA25" s="2561"/>
      <c r="AB25" s="2561"/>
      <c r="AC25" s="2561"/>
      <c r="AD25" s="2561"/>
      <c r="AE25" s="2561"/>
      <c r="AF25" s="2561"/>
      <c r="AG25" s="2561"/>
      <c r="AH25" s="2561"/>
      <c r="AI25" s="1608"/>
    </row>
    <row customHeight="1" ht="14.25">
      <c r="Q26" s="737"/>
      <c r="R26" s="737"/>
      <c r="S26" s="1641"/>
      <c r="T26" s="724"/>
      <c r="U26" s="724"/>
      <c r="V26" s="683"/>
      <c r="W26" s="683"/>
      <c r="X26" s="683"/>
      <c r="Y26" s="683"/>
      <c r="Z26" s="683"/>
      <c r="AA26" s="683"/>
      <c r="AB26" s="683"/>
      <c r="AC26" s="683"/>
      <c r="AD26" s="683"/>
      <c r="AE26" s="683"/>
      <c r="AF26" s="683"/>
      <c r="AG26" s="683"/>
      <c r="AH26" s="683"/>
      <c r="AI26" s="683"/>
      <c r="AJ26" s="870"/>
    </row>
    <row s="32230" customFormat="1" customHeight="1" ht="25.5">
      <c r="A27" s="1734"/>
      <c r="B27" s="1734"/>
      <c r="C27" s="1734"/>
      <c r="D27" s="1734"/>
      <c r="E27" s="1734"/>
      <c r="F27" s="1734"/>
      <c r="G27" s="1734"/>
      <c r="H27" s="1734"/>
      <c r="I27" s="1734"/>
      <c r="J27" s="1734"/>
      <c r="K27" s="1734"/>
      <c r="L27" s="1735"/>
      <c r="M27" s="1734"/>
      <c r="N27" s="1734"/>
      <c r="O27" s="1734"/>
      <c r="S27" s="2518" t="s">
        <v>38</v>
      </c>
      <c r="T27" s="2518"/>
      <c r="U27" s="1738"/>
      <c r="V27" s="2520" t="str">
        <f>IF(TITLE_NAME_OR_PR_CHANGE="",IF(TITLE_NAME_OR_PR="","",TITLE_NAME_OR_PR),TITLE_NAME_OR_PR_CHANGE)</f>
        <v>Комитет по тарифному регулированию Мурманской области</v>
      </c>
      <c r="W27" s="2520"/>
      <c r="X27" s="2520"/>
      <c r="Y27" s="2520"/>
      <c r="Z27" s="2520"/>
      <c r="AA27" s="2520"/>
      <c r="AB27" s="687"/>
      <c r="AC27" s="2520" t="str">
        <f>IF(TITLE_NAME_OR_PR_CHANGE="",IF(TITLE_NAME_OR_PR="","",TITLE_NAME_OR_PR),TITLE_NAME_OR_PR_CHANGE)</f>
        <v>Комитет по тарифному регулированию Мурманской области</v>
      </c>
      <c r="AD27" s="2520"/>
      <c r="AE27" s="2520"/>
      <c r="AF27" s="2520"/>
      <c r="AG27" s="2520"/>
      <c r="AH27" s="2520"/>
      <c r="AI27" s="687"/>
      <c r="AJ27" s="687"/>
      <c r="AK27" s="641"/>
      <c r="AL27" s="729"/>
      <c r="AM27" s="729"/>
      <c r="AN27" s="729"/>
      <c r="AO27" s="729"/>
      <c r="AP27" s="729"/>
    </row>
    <row s="32230" customFormat="1" customHeight="1" ht="18.75">
      <c r="A28" s="1734"/>
      <c r="B28" s="1734"/>
      <c r="C28" s="1734"/>
      <c r="D28" s="1734"/>
      <c r="E28" s="1734"/>
      <c r="F28" s="1734"/>
      <c r="G28" s="1734"/>
      <c r="H28" s="1734"/>
      <c r="I28" s="1734"/>
      <c r="J28" s="1734"/>
      <c r="K28" s="1734"/>
      <c r="L28" s="1735"/>
      <c r="M28" s="1734"/>
      <c r="N28" s="1734"/>
      <c r="O28" s="1734"/>
      <c r="S28" s="2518" t="s">
        <v>462</v>
      </c>
      <c r="T28" s="2518"/>
      <c r="U28" s="1738"/>
      <c r="V28" s="2519" t="str">
        <f>IF(TITLE_DATE_PR_CHANGE="",IF(TITLE_DATE_PR="","",TITLE_DATE_PR),TITLE_DATE_PR_CHANGE)</f>
        <v>45280</v>
      </c>
      <c r="W28" s="2519"/>
      <c r="X28" s="2519"/>
      <c r="Y28" s="2519"/>
      <c r="Z28" s="2519"/>
      <c r="AA28" s="2519"/>
      <c r="AB28" s="687"/>
      <c r="AC28" s="2519" t="str">
        <f>IF(TITLE_DATE_PR_CHANGE="",IF(TITLE_DATE_PR="","",TITLE_DATE_PR),TITLE_DATE_PR_CHANGE)</f>
        <v>45280</v>
      </c>
      <c r="AD28" s="2519"/>
      <c r="AE28" s="2519"/>
      <c r="AF28" s="2519"/>
      <c r="AG28" s="2519"/>
      <c r="AH28" s="2519"/>
      <c r="AI28" s="687"/>
      <c r="AJ28" s="687"/>
      <c r="AK28" s="641"/>
      <c r="AL28" s="729"/>
      <c r="AM28" s="729"/>
      <c r="AN28" s="729"/>
      <c r="AO28" s="729"/>
      <c r="AP28" s="729"/>
    </row>
    <row s="32230" customFormat="1" customHeight="1" ht="18.75">
      <c r="A29" s="1734"/>
      <c r="B29" s="1734"/>
      <c r="C29" s="1734"/>
      <c r="D29" s="1734"/>
      <c r="E29" s="1734"/>
      <c r="F29" s="1734"/>
      <c r="G29" s="1734"/>
      <c r="H29" s="1734"/>
      <c r="I29" s="1734"/>
      <c r="J29" s="1734"/>
      <c r="K29" s="1734"/>
      <c r="L29" s="1735"/>
      <c r="M29" s="1734"/>
      <c r="N29" s="1734"/>
      <c r="O29" s="1734"/>
      <c r="S29" s="2518" t="s">
        <v>463</v>
      </c>
      <c r="T29" s="2518"/>
      <c r="U29" s="1738"/>
      <c r="V29" s="2520" t="str">
        <f>IF(TITLE_NUMBER_PR_CHANGE="",IF(TITLE_NUMBER_PR="","",TITLE_NUMBER_PR),TITLE_NUMBER_PR_CHANGE)</f>
        <v>51/16</v>
      </c>
      <c r="W29" s="2520"/>
      <c r="X29" s="2520"/>
      <c r="Y29" s="2520"/>
      <c r="Z29" s="2520"/>
      <c r="AA29" s="2520"/>
      <c r="AB29" s="687"/>
      <c r="AC29" s="2520" t="str">
        <f>IF(TITLE_NUMBER_PR_CHANGE="",IF(TITLE_NUMBER_PR="","",TITLE_NUMBER_PR),TITLE_NUMBER_PR_CHANGE)</f>
        <v>51/16</v>
      </c>
      <c r="AD29" s="2520"/>
      <c r="AE29" s="2520"/>
      <c r="AF29" s="2520"/>
      <c r="AG29" s="2520"/>
      <c r="AH29" s="2520"/>
      <c r="AI29" s="687"/>
      <c r="AJ29" s="687"/>
      <c r="AK29" s="641"/>
      <c r="AL29" s="729"/>
      <c r="AM29" s="729"/>
      <c r="AN29" s="729"/>
      <c r="AO29" s="729"/>
      <c r="AP29" s="729"/>
    </row>
    <row s="32230" customFormat="1" customHeight="1" ht="18.75">
      <c r="A30" s="1734"/>
      <c r="B30" s="1734"/>
      <c r="C30" s="1734"/>
      <c r="D30" s="1734"/>
      <c r="E30" s="1734"/>
      <c r="F30" s="1734"/>
      <c r="G30" s="1734"/>
      <c r="H30" s="1734"/>
      <c r="I30" s="1734"/>
      <c r="J30" s="1734"/>
      <c r="K30" s="1734"/>
      <c r="L30" s="1735"/>
      <c r="M30" s="1734"/>
      <c r="N30" s="1734"/>
      <c r="O30" s="1734"/>
      <c r="S30" s="2518" t="s">
        <v>40</v>
      </c>
      <c r="T30" s="2518"/>
      <c r="U30" s="1738"/>
      <c r="V30" s="2520" t="str">
        <f>IF(TITLE_IST_PUB_CHANGE="",IF(TITLE_IST_PUB="","",TITLE_IST_PUB),TITLE_IST_PUB_CHANGE)</f>
        <v>https://npa.gov-murman.ru/bitrix/components/b1team/govmurman.element.file/download.php?ID=508455&amp;FID=750728</v>
      </c>
      <c r="W30" s="2520"/>
      <c r="X30" s="2520"/>
      <c r="Y30" s="2520"/>
      <c r="Z30" s="2520"/>
      <c r="AA30" s="2520"/>
      <c r="AB30" s="687"/>
      <c r="AC30" s="2520" t="str">
        <f>IF(TITLE_IST_PUB_CHANGE="",IF(TITLE_IST_PUB="","",TITLE_IST_PUB),TITLE_IST_PUB_CHANGE)</f>
        <v>https://npa.gov-murman.ru/bitrix/components/b1team/govmurman.element.file/download.php?ID=508455&amp;FID=750728</v>
      </c>
      <c r="AD30" s="2520"/>
      <c r="AE30" s="2520"/>
      <c r="AF30" s="2520"/>
      <c r="AG30" s="2520"/>
      <c r="AH30" s="2520"/>
      <c r="AI30" s="687"/>
      <c r="AJ30" s="687"/>
      <c r="AK30" s="641"/>
      <c r="AL30" s="729"/>
      <c r="AM30" s="729"/>
      <c r="AN30" s="729"/>
      <c r="AO30" s="729"/>
      <c r="AP30" s="729"/>
    </row>
    <row customHeight="1" ht="14.25" hidden="1">
      <c r="Q31" s="737"/>
      <c r="R31" s="737"/>
      <c r="S31" s="1641"/>
      <c r="T31" s="724"/>
      <c r="U31" s="724"/>
      <c r="V31" s="683"/>
      <c r="W31" s="683"/>
      <c r="X31" s="683"/>
      <c r="Y31" s="683"/>
      <c r="Z31" s="683"/>
      <c r="AA31" s="683"/>
      <c r="AB31" s="683"/>
      <c r="AC31" s="683"/>
      <c r="AD31" s="683"/>
      <c r="AE31" s="683"/>
      <c r="AF31" s="683"/>
      <c r="AG31" s="683"/>
      <c r="AH31" s="683"/>
      <c r="AI31" s="683"/>
      <c r="AJ31" s="870"/>
    </row>
    <row s="32230" customFormat="1" customHeight="1" ht="18.75" hidden="1">
      <c r="A32" s="1734"/>
      <c r="B32" s="1734"/>
      <c r="C32" s="1734"/>
      <c r="D32" s="1734"/>
      <c r="E32" s="1734"/>
      <c r="F32" s="1734"/>
      <c r="G32" s="1734"/>
      <c r="H32" s="1734"/>
      <c r="I32" s="1734"/>
      <c r="J32" s="1734"/>
      <c r="K32" s="1734"/>
      <c r="L32" s="1735"/>
      <c r="M32" s="1734"/>
      <c r="N32" s="1734"/>
      <c r="O32" s="1734"/>
      <c r="S32" s="2518" t="s">
        <v>464</v>
      </c>
      <c r="T32" s="2518"/>
      <c r="U32" s="1738"/>
      <c r="V32" s="2519" t="str">
        <f>IF(TITLE_DATE_PR_CHANGE="",IF(TITLE_DATE_PR="","",TITLE_DATE_PR),TITLE_DATE_PR_CHANGE)</f>
        <v>45280</v>
      </c>
      <c r="W32" s="2519"/>
      <c r="X32" s="2519"/>
      <c r="Y32" s="2519"/>
      <c r="Z32" s="2519"/>
      <c r="AA32" s="2519"/>
      <c r="AB32" s="687"/>
      <c r="AC32" s="2519" t="str">
        <f>IF(TITLE_DATE_PR_CHANGE="",IF(TITLE_DATE_PR="","",TITLE_DATE_PR),TITLE_DATE_PR_CHANGE)</f>
        <v>45280</v>
      </c>
      <c r="AD32" s="2519"/>
      <c r="AE32" s="2519"/>
      <c r="AF32" s="2519"/>
      <c r="AG32" s="2519"/>
      <c r="AH32" s="2519"/>
      <c r="AI32" s="687"/>
      <c r="AJ32" s="687"/>
      <c r="AK32" s="641"/>
      <c r="AL32" s="729"/>
      <c r="AM32" s="729"/>
      <c r="AN32" s="729"/>
      <c r="AO32" s="729"/>
      <c r="AP32" s="729"/>
    </row>
    <row s="32230" customFormat="1" customHeight="1" ht="18.75" hidden="1">
      <c r="A33" s="1734"/>
      <c r="B33" s="1734"/>
      <c r="C33" s="1734"/>
      <c r="D33" s="1734"/>
      <c r="E33" s="1734"/>
      <c r="F33" s="1734"/>
      <c r="G33" s="1734"/>
      <c r="H33" s="1734"/>
      <c r="I33" s="1734"/>
      <c r="J33" s="1734"/>
      <c r="K33" s="1734"/>
      <c r="L33" s="1735"/>
      <c r="M33" s="1734"/>
      <c r="N33" s="1734"/>
      <c r="O33" s="1734"/>
      <c r="S33" s="2518" t="s">
        <v>465</v>
      </c>
      <c r="T33" s="2518"/>
      <c r="U33" s="1738"/>
      <c r="V33" s="2520" t="str">
        <f>IF(TITLE_NUMBER_PR_CHANGE="",IF(TITLE_NUMBER_PR="","",TITLE_NUMBER_PR),TITLE_NUMBER_PR_CHANGE)</f>
        <v>51/16</v>
      </c>
      <c r="W33" s="2520"/>
      <c r="X33" s="2520"/>
      <c r="Y33" s="2520"/>
      <c r="Z33" s="2520"/>
      <c r="AA33" s="2520"/>
      <c r="AB33" s="687"/>
      <c r="AC33" s="2520" t="str">
        <f>IF(TITLE_NUMBER_PR_CHANGE="",IF(TITLE_NUMBER_PR="","",TITLE_NUMBER_PR),TITLE_NUMBER_PR_CHANGE)</f>
        <v>51/16</v>
      </c>
      <c r="AD33" s="2520"/>
      <c r="AE33" s="2520"/>
      <c r="AF33" s="2520"/>
      <c r="AG33" s="2520"/>
      <c r="AH33" s="2520"/>
      <c r="AI33" s="687"/>
      <c r="AJ33" s="687"/>
      <c r="AK33" s="641"/>
      <c r="AL33" s="729"/>
      <c r="AM33" s="729"/>
      <c r="AN33" s="729"/>
      <c r="AO33" s="729"/>
      <c r="AP33" s="729"/>
    </row>
    <row s="32230" customFormat="1" customHeight="1" ht="0.75">
      <c r="A34" s="1734"/>
      <c r="B34" s="1734"/>
      <c r="C34" s="1734"/>
      <c r="D34" s="1734"/>
      <c r="E34" s="1734"/>
      <c r="F34" s="1734"/>
      <c r="G34" s="1734"/>
      <c r="H34" s="1734"/>
      <c r="I34" s="1734"/>
      <c r="J34" s="1734"/>
      <c r="K34" s="1734"/>
      <c r="L34" s="1735"/>
      <c r="M34" s="1734"/>
      <c r="N34" s="1734"/>
      <c r="O34" s="1734"/>
      <c r="S34" s="684"/>
      <c r="T34" s="684"/>
      <c r="U34" s="1854"/>
      <c r="V34" s="687"/>
      <c r="W34" s="687"/>
      <c r="X34" s="687"/>
      <c r="Y34" s="687"/>
      <c r="Z34" s="687"/>
      <c r="AA34" s="687"/>
      <c r="AB34" s="639" t="s">
        <v>466</v>
      </c>
      <c r="AC34" s="687"/>
      <c r="AD34" s="687"/>
      <c r="AE34" s="687"/>
      <c r="AF34" s="687"/>
      <c r="AG34" s="687"/>
      <c r="AH34" s="687"/>
      <c r="AI34" s="639" t="s">
        <v>466</v>
      </c>
      <c r="AL34" s="729"/>
      <c r="AM34" s="729"/>
      <c r="AN34" s="729"/>
      <c r="AO34" s="729"/>
      <c r="AP34" s="729"/>
    </row>
    <row customHeight="1" ht="14.25">
      <c r="Q35" s="737"/>
      <c r="R35" s="737"/>
      <c r="S35" s="1641"/>
      <c r="T35" s="724"/>
      <c r="U35" s="1609"/>
      <c r="V35" s="2544"/>
      <c r="W35" s="2544"/>
      <c r="X35" s="2544"/>
      <c r="Y35" s="2544"/>
      <c r="Z35" s="2544"/>
      <c r="AA35" s="2544"/>
      <c r="AB35" s="2544"/>
      <c r="AC35" s="2544"/>
      <c r="AD35" s="2544"/>
      <c r="AE35" s="2544"/>
      <c r="AF35" s="2544"/>
      <c r="AG35" s="2544"/>
      <c r="AH35" s="2544"/>
      <c r="AI35" s="2544"/>
    </row>
    <row customHeight="1" ht="14.25">
      <c r="Q36" s="737"/>
      <c r="R36" s="737"/>
      <c r="S36" s="2392" t="s">
        <v>341</v>
      </c>
      <c r="T36" s="2392"/>
      <c r="U36" s="2392"/>
      <c r="V36" s="2392"/>
      <c r="W36" s="2392"/>
      <c r="X36" s="2392"/>
      <c r="Y36" s="2392"/>
      <c r="Z36" s="2392"/>
      <c r="AA36" s="2392"/>
      <c r="AB36" s="2392"/>
      <c r="AC36" s="2392"/>
      <c r="AD36" s="2392"/>
      <c r="AE36" s="2392"/>
      <c r="AF36" s="2392"/>
      <c r="AG36" s="2392"/>
      <c r="AH36" s="2392"/>
      <c r="AI36" s="2392"/>
      <c r="AJ36" s="2392"/>
      <c r="AK36" s="2392" t="s">
        <v>342</v>
      </c>
    </row>
    <row customHeight="1" ht="14.25">
      <c r="Q37" s="737"/>
      <c r="R37" s="737"/>
      <c r="S37" s="2545" t="s">
        <v>87</v>
      </c>
      <c r="T37" s="2482" t="s">
        <v>467</v>
      </c>
      <c r="U37" s="662"/>
      <c r="V37" s="2546" t="s">
        <v>468</v>
      </c>
      <c r="W37" s="2547"/>
      <c r="X37" s="2547"/>
      <c r="Y37" s="2547"/>
      <c r="Z37" s="2547"/>
      <c r="AA37" s="2548"/>
      <c r="AB37" s="2549" t="s">
        <v>469</v>
      </c>
      <c r="AC37" s="2546" t="s">
        <v>468</v>
      </c>
      <c r="AD37" s="2547"/>
      <c r="AE37" s="2547"/>
      <c r="AF37" s="2547"/>
      <c r="AG37" s="2547"/>
      <c r="AH37" s="2548"/>
      <c r="AI37" s="2549" t="s">
        <v>470</v>
      </c>
      <c r="AJ37" s="2552" t="s">
        <v>471</v>
      </c>
      <c r="AK37" s="2392"/>
    </row>
    <row customHeight="1" ht="33.75">
      <c r="Q38" s="737"/>
      <c r="R38" s="737"/>
      <c r="S38" s="2545"/>
      <c r="T38" s="2482"/>
      <c r="U38" s="1393"/>
      <c r="V38" s="1849" t="s">
        <v>528</v>
      </c>
      <c r="W38" s="2538" t="s">
        <v>474</v>
      </c>
      <c r="X38" s="2540"/>
      <c r="Y38" s="2538" t="s">
        <v>475</v>
      </c>
      <c r="Z38" s="2539"/>
      <c r="AA38" s="2540"/>
      <c r="AB38" s="2550"/>
      <c r="AC38" s="1849" t="s">
        <v>528</v>
      </c>
      <c r="AD38" s="2538" t="s">
        <v>474</v>
      </c>
      <c r="AE38" s="2540"/>
      <c r="AF38" s="2538" t="s">
        <v>475</v>
      </c>
      <c r="AG38" s="2539"/>
      <c r="AH38" s="2540"/>
      <c r="AI38" s="2550"/>
      <c r="AJ38" s="2553"/>
      <c r="AK38" s="2392"/>
    </row>
    <row customHeight="1" ht="86.25">
      <c r="A39" s="1736"/>
      <c r="B39" s="1736" t="s">
        <v>143</v>
      </c>
      <c r="C39" s="1736" t="s">
        <v>144</v>
      </c>
      <c r="D39" s="1736" t="s">
        <v>145</v>
      </c>
      <c r="E39" s="1730" t="s">
        <v>476</v>
      </c>
      <c r="F39" s="1730" t="s">
        <v>477</v>
      </c>
      <c r="G39" s="1730" t="s">
        <v>478</v>
      </c>
      <c r="H39" s="1730"/>
      <c r="I39" s="1730" t="s">
        <v>529</v>
      </c>
      <c r="J39" s="1730" t="s">
        <v>481</v>
      </c>
      <c r="K39" s="1730" t="s">
        <v>530</v>
      </c>
      <c r="L39" s="1730" t="s">
        <v>457</v>
      </c>
      <c r="Q39" s="737"/>
      <c r="R39" s="737"/>
      <c r="S39" s="2545"/>
      <c r="T39" s="2482"/>
      <c r="U39" s="663"/>
      <c r="V39" s="1849" t="s">
        <v>557</v>
      </c>
      <c r="W39" s="1587" t="s">
        <v>558</v>
      </c>
      <c r="X39" s="1587" t="s">
        <v>533</v>
      </c>
      <c r="Y39" s="1855" t="s">
        <v>485</v>
      </c>
      <c r="Z39" s="2541" t="s">
        <v>486</v>
      </c>
      <c r="AA39" s="2542"/>
      <c r="AB39" s="2551"/>
      <c r="AC39" s="1849" t="s">
        <v>557</v>
      </c>
      <c r="AD39" s="1587" t="s">
        <v>558</v>
      </c>
      <c r="AE39" s="1587" t="s">
        <v>533</v>
      </c>
      <c r="AF39" s="1855" t="s">
        <v>485</v>
      </c>
      <c r="AG39" s="2541" t="s">
        <v>486</v>
      </c>
      <c r="AH39" s="2542"/>
      <c r="AI39" s="2551"/>
      <c r="AJ39" s="2554"/>
      <c r="AK39" s="2392"/>
    </row>
    <row s="32049" customFormat="1" customHeight="1" ht="11.25" hidden="1">
      <c r="A40" s="1736"/>
      <c r="B40" s="1736"/>
      <c r="C40" s="1736"/>
      <c r="D40" s="1736"/>
      <c r="E40" s="1736"/>
      <c r="F40" s="1736"/>
      <c r="G40" s="1736"/>
      <c r="H40" s="1736"/>
      <c r="I40" s="1736"/>
      <c r="J40" s="1736"/>
      <c r="K40" s="1736"/>
      <c r="L40" s="1730"/>
      <c r="M40" s="1728"/>
      <c r="N40" s="1728"/>
      <c r="O40" s="1728"/>
      <c r="P40" s="1611"/>
      <c r="Q40" s="1612"/>
      <c r="R40" s="1619">
        <v>1</v>
      </c>
      <c r="S40" s="1643" t="s">
        <v>118</v>
      </c>
      <c r="T40" s="1620" t="s">
        <v>102</v>
      </c>
      <c r="U40" s="1610" t="str">
        <f>OFFSET(U40,0,-1)</f>
        <v>2</v>
      </c>
      <c r="V40" s="1848">
        <f>OFFSET(V40,0,-1)+1</f>
        <v>3</v>
      </c>
      <c r="W40" s="1848">
        <f>OFFSET(W40,0,-1)+1</f>
        <v>4</v>
      </c>
      <c r="X40" s="1848">
        <f>OFFSET(X40,0,-1)+1</f>
        <v>5</v>
      </c>
      <c r="Y40" s="1848">
        <f>OFFSET(Y40,0,-1)+1</f>
        <v>6</v>
      </c>
      <c r="Z40" s="2543">
        <f>OFFSET(Z40,0,-1)+1</f>
        <v>7</v>
      </c>
      <c r="AA40" s="2543"/>
      <c r="AB40" s="1848">
        <f>OFFSET(AB40,0,-2)+1</f>
        <v>8</v>
      </c>
      <c r="AC40" s="1848">
        <f>OFFSET(AC40,0,-1)+1</f>
        <v>9</v>
      </c>
      <c r="AD40" s="1848">
        <f>OFFSET(AD40,0,-1)+1</f>
        <v>10</v>
      </c>
      <c r="AE40" s="1848">
        <f>OFFSET(AE40,0,-1)+1</f>
        <v>11</v>
      </c>
      <c r="AF40" s="1848">
        <f>OFFSET(AF40,0,-1)+1</f>
        <v>12</v>
      </c>
      <c r="AG40" s="2543">
        <f>OFFSET(AG40,0,-1)+1</f>
        <v>13</v>
      </c>
      <c r="AH40" s="2543"/>
      <c r="AI40" s="1848">
        <f>OFFSET(AI40,0,-2)+1</f>
        <v>14</v>
      </c>
      <c r="AJ40" s="1610">
        <f>OFFSET(AJ40,0,-1)</f>
        <v>14</v>
      </c>
      <c r="AK40" s="1848">
        <f>OFFSET(AK40,0,-1)+1</f>
        <v>15</v>
      </c>
      <c r="AL40" s="872"/>
      <c r="AM40" s="872"/>
      <c r="AN40" s="872"/>
      <c r="AO40" s="872"/>
      <c r="AP40" s="872"/>
    </row>
    <row customHeight="1" ht="23.25">
      <c r="A41" s="1729" t="s">
        <v>307</v>
      </c>
      <c r="B41" s="1729"/>
      <c r="C41" s="1729"/>
      <c r="D41" s="1729"/>
      <c r="E41" s="2527">
        <v>1</v>
      </c>
      <c r="F41" s="1729"/>
      <c r="G41" s="1729"/>
      <c r="H41" s="1729"/>
      <c r="I41" s="1729"/>
      <c r="J41" s="1729"/>
      <c r="K41" s="1729"/>
      <c r="L41" s="1730"/>
      <c r="M41" s="1731"/>
      <c r="N41" s="1731"/>
      <c r="O41" s="1731"/>
      <c r="P41" s="722"/>
      <c r="Q41" s="721"/>
      <c r="R41" s="716"/>
      <c r="S41" s="1859">
        <f>INDEX(PT_DIFFERENTIATION_NUM_NTAR,MATCH(A41,PT_DIFFERENTIATION_NTAR_ID,0))</f>
        <v>0</v>
      </c>
      <c r="T41" s="659" t="s">
        <v>131</v>
      </c>
      <c r="U41" s="661"/>
      <c r="V41" s="2521"/>
      <c r="W41" s="2522"/>
      <c r="X41" s="2522"/>
      <c r="Y41" s="2522"/>
      <c r="Z41" s="2522"/>
      <c r="AA41" s="2522"/>
      <c r="AB41" s="2523"/>
      <c r="AC41" s="2521" t="str">
        <f>INDEX(PT_DIFFERENTIATION_NTAR,MATCH(A41,PT_DIFFERENTIATION_NTAR_ID,0))</f>
        <v/>
      </c>
      <c r="AD41" s="2522"/>
      <c r="AE41" s="2522"/>
      <c r="AF41" s="2522"/>
      <c r="AG41" s="2522"/>
      <c r="AH41" s="2522"/>
      <c r="AI41" s="2522"/>
      <c r="AJ41" s="2523"/>
      <c r="AK41"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861"/>
      <c r="AN41" s="861" t="str">
        <f>IF(T41="","",T41)</f>
        <v>Наименование тарифа</v>
      </c>
      <c r="AO41" s="861"/>
      <c r="AP41" s="861"/>
    </row>
    <row customHeight="1" ht="23.25">
      <c r="A42" s="1729" t="s">
        <v>307</v>
      </c>
      <c r="B42" s="1729" t="s">
        <v>308</v>
      </c>
      <c r="C42" s="1729"/>
      <c r="D42" s="1729"/>
      <c r="E42" s="2528"/>
      <c r="F42" s="2527">
        <v>1</v>
      </c>
      <c r="G42" s="1729"/>
      <c r="H42" s="1729"/>
      <c r="I42" s="1729"/>
      <c r="J42" s="1729"/>
      <c r="K42" s="1729"/>
      <c r="L42" s="1730"/>
      <c r="M42" s="1731"/>
      <c r="N42" s="1731"/>
      <c r="O42" s="1731"/>
      <c r="P42" s="1853"/>
      <c r="Q42" s="713"/>
      <c r="R42" s="714"/>
      <c r="S42" s="1859" t="str">
        <f>INDEX(PT_DIFFERENTIATION_NUM_TER,MATCH(B42,PT_DIFFERENTIATION_TER_ID,0))</f>
        <v>.</v>
      </c>
      <c r="T42" s="669" t="s">
        <v>438</v>
      </c>
      <c r="U42" s="661"/>
      <c r="V42" s="2521"/>
      <c r="W42" s="2522"/>
      <c r="X42" s="2522"/>
      <c r="Y42" s="2522"/>
      <c r="Z42" s="2522"/>
      <c r="AA42" s="2522"/>
      <c r="AB42" s="2523"/>
      <c r="AC42" s="2521" t="str">
        <f>INDEX(PT_DIFFERENTIATION_TER,MATCH(B42,PT_DIFFERENTIATION_TER_ID,0))</f>
        <v/>
      </c>
      <c r="AD42" s="2522"/>
      <c r="AE42" s="2522"/>
      <c r="AF42" s="2522"/>
      <c r="AG42" s="2522"/>
      <c r="AH42" s="2522"/>
      <c r="AI42" s="2522"/>
      <c r="AJ42" s="2523"/>
      <c r="AK42" s="1623" t="s">
        <v>439</v>
      </c>
      <c r="AM42" s="861"/>
      <c r="AN42" s="861" t="str">
        <f>IF(T42="","",T42)</f>
        <v>Территория действия тарифа</v>
      </c>
      <c r="AO42" s="861"/>
      <c r="AP42" s="861"/>
    </row>
    <row customHeight="1" ht="23.25">
      <c r="A43" s="1729" t="s">
        <v>307</v>
      </c>
      <c r="B43" s="1729" t="s">
        <v>308</v>
      </c>
      <c r="C43" s="1729" t="s">
        <v>309</v>
      </c>
      <c r="D43" s="1729"/>
      <c r="E43" s="2528"/>
      <c r="F43" s="2528"/>
      <c r="G43" s="2527">
        <v>1</v>
      </c>
      <c r="H43" s="1729"/>
      <c r="I43" s="1729"/>
      <c r="J43" s="1729"/>
      <c r="K43" s="1729"/>
      <c r="L43" s="1730"/>
      <c r="M43" s="1731"/>
      <c r="N43" s="1731"/>
      <c r="O43" s="1731"/>
      <c r="P43" s="715"/>
      <c r="Q43" s="713"/>
      <c r="R43" s="714"/>
      <c r="S43" s="1859" t="str">
        <f>INDEX(PT_DIFFERENTIATION_NUM_CS,MATCH(C43,PT_DIFFERENTIATION_CS_ID,0))</f>
        <v>..</v>
      </c>
      <c r="T43" s="670" t="s">
        <v>555</v>
      </c>
      <c r="U43" s="661"/>
      <c r="V43" s="2521"/>
      <c r="W43" s="2522"/>
      <c r="X43" s="2522"/>
      <c r="Y43" s="2522"/>
      <c r="Z43" s="2522"/>
      <c r="AA43" s="2522"/>
      <c r="AB43" s="2523"/>
      <c r="AC43" s="2521" t="str">
        <f>INDEX(PT_DIFFERENTIATION_CS,MATCH(C43,PT_DIFFERENTIATION_CS_ID,0))</f>
        <v/>
      </c>
      <c r="AD43" s="2522"/>
      <c r="AE43" s="2522"/>
      <c r="AF43" s="2522"/>
      <c r="AG43" s="2522"/>
      <c r="AH43" s="2522"/>
      <c r="AI43" s="2522"/>
      <c r="AJ43" s="2523"/>
      <c r="AK43" s="1623" t="s">
        <v>556</v>
      </c>
      <c r="AM43" s="861"/>
      <c r="AN43" s="861" t="str">
        <f>IF(T43="","",T43)</f>
        <v>Наименование централизованной системы водоотведения</v>
      </c>
      <c r="AO43" s="861"/>
      <c r="AP43" s="861"/>
    </row>
    <row customHeight="1" ht="23.25">
      <c r="A44" s="1729" t="s">
        <v>307</v>
      </c>
      <c r="B44" s="1729" t="s">
        <v>308</v>
      </c>
      <c r="C44" s="1729" t="s">
        <v>309</v>
      </c>
      <c r="D44" s="1729" t="s">
        <v>559</v>
      </c>
      <c r="E44" s="2528"/>
      <c r="F44" s="2528"/>
      <c r="G44" s="2528"/>
      <c r="H44" s="2528"/>
      <c r="I44" s="2529" t="str">
        <f>S43&amp;".1"</f>
        <v>...1</v>
      </c>
      <c r="J44" s="1729"/>
      <c r="K44" s="1729"/>
      <c r="L44" s="1730"/>
      <c r="P44" s="2531">
        <v>1</v>
      </c>
      <c r="Q44" s="1847"/>
      <c r="R44" s="717"/>
      <c r="S44" s="1859" t="str">
        <f>$I44</f>
        <v>...1</v>
      </c>
      <c r="T44" s="646" t="s">
        <v>522</v>
      </c>
      <c r="U44" s="661"/>
      <c r="V44" s="2614"/>
      <c r="W44" s="2615"/>
      <c r="X44" s="2615"/>
      <c r="Y44" s="2615"/>
      <c r="Z44" s="2615"/>
      <c r="AA44" s="2615"/>
      <c r="AB44" s="2616"/>
      <c r="AC44" s="2617"/>
      <c r="AD44" s="2618"/>
      <c r="AE44" s="2618"/>
      <c r="AF44" s="2618"/>
      <c r="AG44" s="2618"/>
      <c r="AH44" s="2618"/>
      <c r="AI44" s="2618"/>
      <c r="AJ44" s="2619"/>
      <c r="AK44" s="1623" t="s">
        <v>523</v>
      </c>
      <c r="AM44" s="861"/>
      <c r="AN44" s="861" t="str">
        <f>IF(T44="","",T44)</f>
        <v>Наименование признака дифференциации</v>
      </c>
      <c r="AO44" s="861"/>
      <c r="AP44" s="861"/>
    </row>
    <row customHeight="1" ht="23.25">
      <c r="A45" s="1729" t="s">
        <v>307</v>
      </c>
      <c r="B45" s="1729" t="s">
        <v>308</v>
      </c>
      <c r="C45" s="1729" t="s">
        <v>309</v>
      </c>
      <c r="D45" s="1729" t="s">
        <v>559</v>
      </c>
      <c r="E45" s="2528"/>
      <c r="F45" s="2528"/>
      <c r="G45" s="2528"/>
      <c r="H45" s="2528"/>
      <c r="I45" s="2530"/>
      <c r="J45" s="2529" t="str">
        <f>I44&amp;".1"</f>
        <v>...1.1</v>
      </c>
      <c r="K45" s="1729"/>
      <c r="L45" s="1730" t="s">
        <v>447</v>
      </c>
      <c r="P45" s="2531"/>
      <c r="Q45" s="2531">
        <v>1</v>
      </c>
      <c r="R45" s="718"/>
      <c r="S45" s="1859" t="str">
        <f>$J45</f>
        <v>...1.1</v>
      </c>
      <c r="T45" s="647" t="s">
        <v>448</v>
      </c>
      <c r="U45" s="661"/>
      <c r="V45" s="2515"/>
      <c r="W45" s="2516"/>
      <c r="X45" s="2516"/>
      <c r="Y45" s="2516"/>
      <c r="Z45" s="2516"/>
      <c r="AA45" s="2516"/>
      <c r="AB45" s="2517"/>
      <c r="AC45" s="2515"/>
      <c r="AD45" s="2516"/>
      <c r="AE45" s="2516"/>
      <c r="AF45" s="2516"/>
      <c r="AG45" s="2516"/>
      <c r="AH45" s="2516"/>
      <c r="AI45" s="2516"/>
      <c r="AJ45" s="2517"/>
      <c r="AK45" s="1673" t="s">
        <v>524</v>
      </c>
      <c r="AM45" s="861"/>
      <c r="AN45" s="861" t="str">
        <f>IF(T45="","",T45)</f>
        <v>Группа потребителей</v>
      </c>
      <c r="AO45" s="861"/>
      <c r="AP45" s="861"/>
    </row>
    <row customHeight="1" ht="23.25">
      <c r="A46" s="1729" t="s">
        <v>307</v>
      </c>
      <c r="B46" s="1729" t="s">
        <v>308</v>
      </c>
      <c r="C46" s="1729" t="s">
        <v>309</v>
      </c>
      <c r="D46" s="1729" t="s">
        <v>559</v>
      </c>
      <c r="E46" s="2528"/>
      <c r="F46" s="2528"/>
      <c r="G46" s="2528"/>
      <c r="H46" s="2528"/>
      <c r="I46" s="2530"/>
      <c r="J46" s="2530"/>
      <c r="K46" s="2529" t="str">
        <f>J45&amp;".1"</f>
        <v>...1.1.1</v>
      </c>
      <c r="L46" s="1730"/>
      <c r="P46" s="2531"/>
      <c r="Q46" s="2531"/>
      <c r="R46" s="718">
        <v>1</v>
      </c>
      <c r="S46" s="1859" t="str">
        <f>$K46</f>
        <v>...1.1.1</v>
      </c>
      <c r="T46" s="1803"/>
      <c r="U46" s="661"/>
      <c r="V46" s="1726"/>
      <c r="W46" s="1726"/>
      <c r="X46" s="1727"/>
      <c r="Y46" s="2525"/>
      <c r="Z46" s="2524" t="s">
        <v>66</v>
      </c>
      <c r="AA46" s="2525"/>
      <c r="AB46" s="2524" t="s">
        <v>66</v>
      </c>
      <c r="AC46" s="1112"/>
      <c r="AD46" s="1112"/>
      <c r="AE46" s="1622"/>
      <c r="AF46" s="2532"/>
      <c r="AG46" s="2402" t="s">
        <v>66</v>
      </c>
      <c r="AH46" s="2534"/>
      <c r="AI46" s="2402" t="s">
        <v>56</v>
      </c>
      <c r="AJ46" s="1804"/>
      <c r="AK46" s="26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72">
        <f>STRCHECKDATE(V47:AJ47)</f>
      </c>
      <c r="AM46" s="861"/>
      <c r="AN46" s="861" t="str">
        <f>IF(T46="","",T46)</f>
        <v/>
      </c>
      <c r="AO46" s="861"/>
      <c r="AP46" s="861"/>
    </row>
    <row customHeight="1" ht="0">
      <c r="A47" s="1729" t="s">
        <v>307</v>
      </c>
      <c r="B47" s="1729" t="s">
        <v>308</v>
      </c>
      <c r="C47" s="1729" t="s">
        <v>309</v>
      </c>
      <c r="D47" s="1729" t="s">
        <v>559</v>
      </c>
      <c r="E47" s="2528"/>
      <c r="F47" s="2528"/>
      <c r="G47" s="2528"/>
      <c r="H47" s="2528"/>
      <c r="I47" s="2530"/>
      <c r="J47" s="2530"/>
      <c r="K47" s="2529"/>
      <c r="L47" s="1730"/>
      <c r="P47" s="2531"/>
      <c r="Q47" s="2531"/>
      <c r="R47" s="718"/>
      <c r="S47" s="1856"/>
      <c r="T47" s="661"/>
      <c r="U47" s="661"/>
      <c r="V47" s="1726"/>
      <c r="W47" s="1726"/>
      <c r="X47" s="689" t="str">
        <f>Y46&amp;"-"&amp;AA46</f>
        <v>-</v>
      </c>
      <c r="Y47" s="2524"/>
      <c r="Z47" s="2524"/>
      <c r="AA47" s="2524"/>
      <c r="AB47" s="2524"/>
      <c r="AC47" s="686"/>
      <c r="AD47" s="686"/>
      <c r="AE47" s="689" t="str">
        <f>AF46&amp;"-"&amp;AH46</f>
        <v>-</v>
      </c>
      <c r="AF47" s="2533"/>
      <c r="AG47" s="2402"/>
      <c r="AH47" s="2535"/>
      <c r="AI47" s="2402"/>
      <c r="AJ47" s="1805"/>
      <c r="AK47" s="2620"/>
      <c r="AM47" s="861"/>
      <c r="AN47" s="861" t="str">
        <f>IF(T47="","",T47)</f>
        <v/>
      </c>
      <c r="AO47" s="861"/>
      <c r="AP47" s="861"/>
    </row>
    <row customHeight="1" ht="21">
      <c r="A48" s="1729" t="s">
        <v>307</v>
      </c>
      <c r="B48" s="1729" t="s">
        <v>308</v>
      </c>
      <c r="C48" s="1729" t="s">
        <v>309</v>
      </c>
      <c r="D48" s="1729" t="s">
        <v>559</v>
      </c>
      <c r="E48" s="2528"/>
      <c r="F48" s="2528"/>
      <c r="G48" s="2528"/>
      <c r="H48" s="2528"/>
      <c r="I48" s="2530"/>
      <c r="J48" s="2529"/>
      <c r="K48" s="1729"/>
      <c r="L48" s="1730"/>
      <c r="P48" s="2531"/>
      <c r="Q48" s="2531"/>
      <c r="R48" s="717"/>
      <c r="S48" s="1644"/>
      <c r="T48" s="648" t="s">
        <v>525</v>
      </c>
      <c r="U48" s="728"/>
      <c r="V48" s="728"/>
      <c r="W48" s="728"/>
      <c r="X48" s="728"/>
      <c r="Y48" s="728"/>
      <c r="Z48" s="728"/>
      <c r="AA48" s="728"/>
      <c r="AB48" s="728"/>
      <c r="AC48" s="728"/>
      <c r="AD48" s="728"/>
      <c r="AE48" s="728"/>
      <c r="AF48" s="728"/>
      <c r="AG48" s="728"/>
      <c r="AH48" s="728"/>
      <c r="AI48" s="728"/>
      <c r="AJ48" s="728"/>
      <c r="AK48" s="1623" t="s">
        <v>526</v>
      </c>
      <c r="AM48" s="861"/>
      <c r="AN48" s="861" t="str">
        <f>IF(T48="","",T48)</f>
        <v>Добавить значение признака дифференциации</v>
      </c>
      <c r="AO48" s="861"/>
      <c r="AP48" s="861"/>
    </row>
    <row customHeight="1" ht="21">
      <c r="A49" s="1729" t="s">
        <v>307</v>
      </c>
      <c r="B49" s="1729" t="s">
        <v>308</v>
      </c>
      <c r="C49" s="1729" t="s">
        <v>309</v>
      </c>
      <c r="D49" s="1729" t="s">
        <v>559</v>
      </c>
      <c r="E49" s="2528"/>
      <c r="F49" s="2528"/>
      <c r="G49" s="2528"/>
      <c r="H49" s="2528"/>
      <c r="I49" s="2529"/>
      <c r="J49" s="1729"/>
      <c r="K49" s="1729"/>
      <c r="L49" s="1730"/>
      <c r="P49" s="2531"/>
      <c r="Q49" s="1847"/>
      <c r="R49" s="717"/>
      <c r="S49" s="1644"/>
      <c r="T49" s="726" t="s">
        <v>453</v>
      </c>
      <c r="U49" s="728"/>
      <c r="V49" s="728"/>
      <c r="W49" s="728"/>
      <c r="X49" s="728"/>
      <c r="Y49" s="728"/>
      <c r="Z49" s="728"/>
      <c r="AA49" s="728"/>
      <c r="AB49" s="727"/>
      <c r="AC49" s="728"/>
      <c r="AD49" s="728"/>
      <c r="AE49" s="728"/>
      <c r="AF49" s="728"/>
      <c r="AG49" s="728"/>
      <c r="AH49" s="728"/>
      <c r="AI49" s="727"/>
      <c r="AJ49" s="728"/>
      <c r="AK49" s="1806"/>
      <c r="AM49" s="861"/>
      <c r="AN49" s="861" t="str">
        <f>IF(T49="","",T49)</f>
        <v>Добавить группу потребителей</v>
      </c>
      <c r="AO49" s="861"/>
      <c r="AP49" s="861"/>
    </row>
    <row customHeight="1" ht="21">
      <c r="A50" s="1729" t="s">
        <v>307</v>
      </c>
      <c r="B50" s="1729" t="s">
        <v>308</v>
      </c>
      <c r="C50" s="1729" t="s">
        <v>309</v>
      </c>
      <c r="D50" s="1729" t="s">
        <v>559</v>
      </c>
      <c r="E50" s="2528"/>
      <c r="F50" s="2528"/>
      <c r="G50" s="2528"/>
      <c r="H50" s="2527"/>
      <c r="I50" s="1729"/>
      <c r="J50" s="1729"/>
      <c r="K50" s="1729"/>
      <c r="L50" s="1730"/>
      <c r="M50" s="1731"/>
      <c r="N50" s="1731"/>
      <c r="O50" s="898"/>
      <c r="P50" s="721"/>
      <c r="Q50" s="736"/>
      <c r="R50" s="716"/>
      <c r="S50" s="1644"/>
      <c r="T50" s="733" t="s">
        <v>527</v>
      </c>
      <c r="U50" s="728"/>
      <c r="V50" s="728"/>
      <c r="W50" s="728"/>
      <c r="X50" s="728"/>
      <c r="Y50" s="728"/>
      <c r="Z50" s="728"/>
      <c r="AA50" s="728"/>
      <c r="AB50" s="727"/>
      <c r="AC50" s="728"/>
      <c r="AD50" s="728"/>
      <c r="AE50" s="728"/>
      <c r="AF50" s="728"/>
      <c r="AG50" s="728"/>
      <c r="AH50" s="728"/>
      <c r="AI50" s="727"/>
      <c r="AJ50" s="728"/>
      <c r="AK50" s="664"/>
      <c r="AM50" s="861"/>
      <c r="AN50" s="861" t="str">
        <f>IF(T50="","",T50)</f>
        <v>Добавить наименование признака дифференциации</v>
      </c>
      <c r="AO50" s="861"/>
      <c r="AP50" s="861"/>
    </row>
    <row s="32198" customFormat="1" customHeight="1" ht="0">
      <c r="A51" s="1709" t="s">
        <v>307</v>
      </c>
      <c r="B51" s="1709" t="s">
        <v>308</v>
      </c>
      <c r="C51" s="1680"/>
      <c r="D51" s="1680"/>
      <c r="E51" s="2528"/>
      <c r="F51" s="2527"/>
      <c r="G51" s="1680"/>
      <c r="H51" s="1680"/>
      <c r="I51" s="1680"/>
      <c r="J51" s="1680"/>
      <c r="K51" s="1680"/>
      <c r="L51" s="1860"/>
      <c r="M51" s="1687"/>
      <c r="N51" s="1687"/>
      <c r="P51" s="1682"/>
      <c r="Q51" s="1683"/>
      <c r="R51" s="1682"/>
      <c r="S51" s="1688"/>
      <c r="T51" s="1691" t="s">
        <v>262</v>
      </c>
      <c r="U51" s="1690"/>
      <c r="V51" s="1690"/>
      <c r="W51" s="1690"/>
      <c r="X51" s="1690"/>
      <c r="Y51" s="1690"/>
      <c r="Z51" s="1690"/>
      <c r="AA51" s="1690"/>
      <c r="AB51" s="1690"/>
      <c r="AC51" s="1690"/>
      <c r="AD51" s="1690"/>
      <c r="AE51" s="1690"/>
      <c r="AF51" s="1690"/>
      <c r="AG51" s="1690"/>
      <c r="AH51" s="1690"/>
      <c r="AI51" s="1690"/>
      <c r="AJ51" s="1690"/>
      <c r="AK51" s="1690"/>
      <c r="AM51" s="1150"/>
      <c r="AN51" s="1150" t="str">
        <f>IF(T51="","",T51)</f>
        <v>Добавить централизованную систему для дифференциации</v>
      </c>
      <c r="AO51" s="1150"/>
      <c r="AP51" s="1150"/>
    </row>
    <row s="32289" customFormat="1" customHeight="1" ht="0">
      <c r="A52" s="1709" t="s">
        <v>307</v>
      </c>
      <c r="B52" s="1709"/>
      <c r="C52" s="1709"/>
      <c r="D52" s="1709"/>
      <c r="E52" s="2527"/>
      <c r="F52" s="1709"/>
      <c r="G52" s="1709"/>
      <c r="H52" s="1709"/>
      <c r="I52" s="1709"/>
      <c r="J52" s="1709"/>
      <c r="K52" s="1709"/>
      <c r="L52" s="1712"/>
      <c r="M52" s="1687"/>
      <c r="N52" s="1687"/>
      <c r="O52" s="879"/>
      <c r="P52" s="741"/>
      <c r="Q52" s="1710"/>
      <c r="R52" s="741"/>
      <c r="S52" s="1688"/>
      <c r="T52" s="1691" t="s">
        <v>270</v>
      </c>
      <c r="U52" s="1690"/>
      <c r="V52" s="1690"/>
      <c r="W52" s="1690"/>
      <c r="X52" s="1690"/>
      <c r="Y52" s="1690"/>
      <c r="Z52" s="1690"/>
      <c r="AA52" s="1690"/>
      <c r="AB52" s="1690"/>
      <c r="AC52" s="1690"/>
      <c r="AD52" s="1690"/>
      <c r="AE52" s="1690"/>
      <c r="AF52" s="1690"/>
      <c r="AG52" s="1690"/>
      <c r="AH52" s="1690"/>
      <c r="AI52" s="1690"/>
      <c r="AJ52" s="1690"/>
      <c r="AK52" s="1690"/>
      <c r="AM52" s="861"/>
      <c r="AN52" s="861" t="str">
        <f>IF(T52="","",T52)</f>
        <v>Добавить территорию для дифференциации</v>
      </c>
      <c r="AO52" s="861"/>
      <c r="AP52" s="861"/>
    </row>
    <row s="32198" customFormat="1" customHeight="1" ht="0">
      <c r="A53" s="1680"/>
      <c r="B53" s="1680"/>
      <c r="C53" s="1680"/>
      <c r="D53" s="1680"/>
      <c r="E53" s="1709"/>
      <c r="F53" s="1680"/>
      <c r="G53" s="1680"/>
      <c r="H53" s="1680"/>
      <c r="I53" s="1680"/>
      <c r="J53" s="1680"/>
      <c r="K53" s="1680"/>
      <c r="L53" s="1860"/>
      <c r="M53" s="1687"/>
      <c r="N53" s="1687"/>
      <c r="P53" s="1682"/>
      <c r="Q53" s="1683"/>
      <c r="R53" s="1682"/>
      <c r="S53" s="1688"/>
      <c r="T53" s="1691" t="s">
        <v>294</v>
      </c>
      <c r="U53" s="1690"/>
      <c r="V53" s="1690"/>
      <c r="W53" s="1690"/>
      <c r="X53" s="1690"/>
      <c r="Y53" s="1690"/>
      <c r="Z53" s="1690"/>
      <c r="AA53" s="1690"/>
      <c r="AB53" s="1690"/>
      <c r="AC53" s="1690"/>
      <c r="AD53" s="1690"/>
      <c r="AE53" s="1690"/>
      <c r="AF53" s="1690"/>
      <c r="AG53" s="1690"/>
      <c r="AH53" s="1690"/>
      <c r="AI53" s="1690"/>
      <c r="AJ53" s="1690"/>
      <c r="AK53" s="1690"/>
      <c r="AM53" s="1150"/>
      <c r="AN53" s="1150" t="str">
        <f>IF(T53="","",T53)</f>
        <v>Добавить наименование тарифа</v>
      </c>
      <c r="AO53" s="1150"/>
      <c r="AP53" s="1150"/>
    </row>
    <row customHeight="1" ht="11.25">
      <c r="M54" s="1523"/>
      <c r="N54" s="1523"/>
      <c r="O54" s="898"/>
      <c r="P54" s="1518"/>
      <c r="Q54" s="1518"/>
      <c r="R54" s="1518"/>
      <c r="S54" s="1518"/>
      <c r="AL54" s="1518"/>
      <c r="AM54" s="1518"/>
      <c r="AN54" s="1518"/>
      <c r="AO54" s="1518"/>
      <c r="AP54" s="1518"/>
    </row>
    <row customHeight="1" ht="14.25">
      <c r="O55" s="898"/>
      <c r="S55" s="1618"/>
      <c r="T55" s="2526"/>
      <c r="U55" s="2526"/>
      <c r="V55" s="2526"/>
      <c r="W55" s="2526"/>
      <c r="X55" s="2526"/>
      <c r="Y55" s="2526"/>
      <c r="Z55" s="2526"/>
      <c r="AA55" s="2526"/>
      <c r="AB55" s="2526"/>
      <c r="AC55" s="2526"/>
      <c r="AD55" s="2526"/>
      <c r="AE55" s="2526"/>
      <c r="AF55" s="2526"/>
      <c r="AG55" s="2526"/>
      <c r="AH55" s="2526"/>
      <c r="AI55" s="2526"/>
      <c r="AJ55" s="2526"/>
      <c r="AK55" s="2526"/>
    </row>
    <row customHeight="1" ht="14.25">
      <c r="O56" s="898"/>
    </row>
    <row customHeight="1" ht="14.25">
      <c r="O57" s="898"/>
      <c r="S57" s="1618"/>
      <c r="T57" s="2526"/>
      <c r="U57" s="2526"/>
      <c r="V57" s="2526"/>
      <c r="W57" s="2526"/>
      <c r="X57" s="2526"/>
      <c r="Y57" s="2526"/>
      <c r="Z57" s="2526"/>
      <c r="AA57" s="2526"/>
      <c r="AB57" s="2526"/>
      <c r="AC57" s="2526"/>
      <c r="AD57" s="2526"/>
      <c r="AE57" s="2526"/>
      <c r="AF57" s="2526"/>
      <c r="AG57" s="2526"/>
      <c r="AH57" s="2526"/>
      <c r="AI57" s="2526"/>
      <c r="AJ57" s="2526"/>
      <c r="AK57" s="252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1471A-064F-BDB1-9CE8-FA80B4580265}"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217" width="10.57421875" hidden="1"/>
    <col min="2" max="2" style="32217" width="11.00390625" hidden="1" customWidth="1"/>
    <col min="3" max="3" style="32217" width="10.57421875" hidden="1"/>
    <col min="4" max="4" style="32217" width="11.8515625" hidden="1" customWidth="1"/>
    <col min="5" max="5" style="32217" width="10.00390625" hidden="1" customWidth="1"/>
    <col min="6" max="6" style="32217" width="8.7109375" hidden="1" customWidth="1"/>
    <col min="7" max="7" style="32217" width="7.57421875" hidden="1" customWidth="1"/>
    <col min="8" max="8" style="32217" width="11.421875" hidden="1" customWidth="1"/>
    <col min="9" max="9" style="32217" width="14.140625" hidden="1" customWidth="1"/>
    <col min="10" max="10" style="32217" width="9.8515625" hidden="1" customWidth="1"/>
    <col min="11" max="11" style="32217" width="14.7109375" hidden="1" customWidth="1"/>
    <col min="12" max="12" style="32566" width="19.140625" hidden="1" customWidth="1"/>
    <col min="13" max="14" style="32298" width="12.28125" hidden="1" customWidth="1"/>
    <col min="15" max="15" style="32298" width="23.421875" hidden="1" customWidth="1"/>
    <col min="16" max="16" style="32567" width="3.7109375" customWidth="1"/>
    <col min="17" max="18" style="32300" width="3.7109375" customWidth="1"/>
    <col min="19" max="19" style="32301" width="12.7109375" customWidth="1"/>
    <col min="20" max="20" style="32302" width="35.7109375" customWidth="1"/>
    <col min="21" max="21" style="32302" width="0.140625" customWidth="1"/>
    <col min="22" max="24" style="32302" width="24.7109375" hidden="1" customWidth="1"/>
    <col min="25" max="25" style="32302" width="11.7109375" hidden="1" customWidth="1"/>
    <col min="26" max="26" style="32302" width="3.7109375" hidden="1" customWidth="1"/>
    <col min="27" max="27" style="32302" width="11.7109375" hidden="1" customWidth="1"/>
    <col min="28" max="28" style="32302" width="8.57421875" hidden="1" customWidth="1"/>
    <col min="29" max="31" style="32302" width="24.7109375" customWidth="1"/>
    <col min="32" max="32" style="32302" width="11.7109375" customWidth="1"/>
    <col min="33" max="33" style="32302" width="3.7109375" customWidth="1"/>
    <col min="34" max="34" style="32302" width="11.7109375" customWidth="1"/>
    <col min="35" max="35" style="32302" width="8.57421875" hidden="1" customWidth="1"/>
    <col min="36" max="36" style="32302" width="4.7109375" customWidth="1"/>
    <col min="37" max="37" style="32302" width="115.7109375" customWidth="1"/>
    <col min="38" max="39" style="32289" width="10.57421875"/>
    <col min="40" max="40" style="32289" width="11.140625" customWidth="1"/>
    <col min="41" max="42" style="32289" width="10.57421875"/>
  </cols>
  <sheetData>
    <row customHeight="1" ht="14.25" hidden="1">
      <c r="X1" s="688"/>
      <c r="Y1" s="688"/>
      <c r="AE1" s="688"/>
      <c r="AF1" s="688"/>
    </row>
    <row customHeight="1" ht="23.25" hidden="1">
      <c r="A2" s="1729"/>
      <c r="B2" s="1729"/>
      <c r="C2" s="1729"/>
      <c r="D2" s="1729"/>
      <c r="E2" s="2527">
        <v>1</v>
      </c>
      <c r="F2" s="1729"/>
      <c r="G2" s="1729"/>
      <c r="H2" s="1729"/>
      <c r="I2" s="1729"/>
      <c r="J2" s="1729"/>
      <c r="K2" s="1729"/>
      <c r="L2" s="1730"/>
      <c r="M2" s="1731"/>
      <c r="N2" s="1731"/>
      <c r="O2" s="1731"/>
      <c r="P2" s="722"/>
      <c r="Q2" s="721"/>
      <c r="R2" s="716"/>
      <c r="S2" s="1859">
        <f>INDEX(PT_DIFFERENTIATION_NUM_NTAR,MATCH(A2,PT_DIFFERENTIATION_NTAR_ID,0))</f>
      </c>
      <c r="T2" s="659" t="s">
        <v>131</v>
      </c>
      <c r="U2" s="661"/>
      <c r="V2" s="2521"/>
      <c r="W2" s="2522"/>
      <c r="X2" s="2522"/>
      <c r="Y2" s="2522"/>
      <c r="Z2" s="2522"/>
      <c r="AA2" s="2522"/>
      <c r="AB2" s="2523"/>
      <c r="AC2" s="2521">
        <f>INDEX(PT_DIFFERENTIATION_NTAR,MATCH(A2,PT_DIFFERENTIATION_NTAR_ID,0))</f>
      </c>
      <c r="AD2" s="2522"/>
      <c r="AE2" s="2522"/>
      <c r="AF2" s="2522"/>
      <c r="AG2" s="2522"/>
      <c r="AH2" s="2522"/>
      <c r="AI2" s="2522"/>
      <c r="AJ2" s="2523"/>
      <c r="AK2"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861"/>
      <c r="AN2" s="861" t="str">
        <f>IF(T2="","",T2)</f>
        <v>Наименование тарифа</v>
      </c>
      <c r="AO2" s="861"/>
      <c r="AP2" s="861"/>
    </row>
    <row customHeight="1" ht="23.25" hidden="1">
      <c r="A3" s="1729"/>
      <c r="B3" s="1729"/>
      <c r="C3" s="1729"/>
      <c r="D3" s="1729"/>
      <c r="E3" s="2528"/>
      <c r="F3" s="2527">
        <v>1</v>
      </c>
      <c r="G3" s="1729"/>
      <c r="H3" s="1729"/>
      <c r="I3" s="1729"/>
      <c r="J3" s="1729"/>
      <c r="K3" s="1729"/>
      <c r="L3" s="1730"/>
      <c r="M3" s="1731"/>
      <c r="N3" s="1731"/>
      <c r="O3" s="1731"/>
      <c r="P3" s="1853"/>
      <c r="Q3" s="713"/>
      <c r="R3" s="714"/>
      <c r="S3" s="1859">
        <f>INDEX(PT_DIFFERENTIATION_NUM_TER,MATCH(B3,PT_DIFFERENTIATION_TER_ID,0))</f>
      </c>
      <c r="T3" s="669" t="s">
        <v>438</v>
      </c>
      <c r="U3" s="661"/>
      <c r="V3" s="2521"/>
      <c r="W3" s="2522"/>
      <c r="X3" s="2522"/>
      <c r="Y3" s="2522"/>
      <c r="Z3" s="2522"/>
      <c r="AA3" s="2522"/>
      <c r="AB3" s="2523"/>
      <c r="AC3" s="2521">
        <f>INDEX(PT_DIFFERENTIATION_TER,MATCH(B3,PT_DIFFERENTIATION_TER_ID,0))</f>
      </c>
      <c r="AD3" s="2522"/>
      <c r="AE3" s="2522"/>
      <c r="AF3" s="2522"/>
      <c r="AG3" s="2522"/>
      <c r="AH3" s="2522"/>
      <c r="AI3" s="2522"/>
      <c r="AJ3" s="2523"/>
      <c r="AK3" s="1623" t="s">
        <v>439</v>
      </c>
      <c r="AM3" s="861"/>
      <c r="AN3" s="861" t="str">
        <f>IF(T3="","",T3)</f>
        <v>Территория действия тарифа</v>
      </c>
      <c r="AO3" s="861"/>
      <c r="AP3" s="861"/>
    </row>
    <row customHeight="1" ht="23.25" hidden="1">
      <c r="A4" s="1729"/>
      <c r="B4" s="1729"/>
      <c r="C4" s="1729"/>
      <c r="D4" s="1729"/>
      <c r="E4" s="2528"/>
      <c r="F4" s="2528"/>
      <c r="G4" s="2527">
        <v>1</v>
      </c>
      <c r="H4" s="1729"/>
      <c r="I4" s="1729"/>
      <c r="J4" s="1729"/>
      <c r="K4" s="1729"/>
      <c r="L4" s="1730"/>
      <c r="M4" s="1731"/>
      <c r="N4" s="1731"/>
      <c r="O4" s="1731"/>
      <c r="P4" s="715"/>
      <c r="Q4" s="713"/>
      <c r="R4" s="714"/>
      <c r="S4" s="1859">
        <f>INDEX(PT_DIFFERENTIATION_NUM_CS,MATCH(C4,PT_DIFFERENTIATION_CS_ID,0))</f>
      </c>
      <c r="T4" s="670" t="s">
        <v>555</v>
      </c>
      <c r="U4" s="661"/>
      <c r="V4" s="2521"/>
      <c r="W4" s="2522"/>
      <c r="X4" s="2522"/>
      <c r="Y4" s="2522"/>
      <c r="Z4" s="2522"/>
      <c r="AA4" s="2522"/>
      <c r="AB4" s="2523"/>
      <c r="AC4" s="2521">
        <f>INDEX(PT_DIFFERENTIATION_CS,MATCH(C4,PT_DIFFERENTIATION_CS_ID,0))</f>
      </c>
      <c r="AD4" s="2522"/>
      <c r="AE4" s="2522"/>
      <c r="AF4" s="2522"/>
      <c r="AG4" s="2522"/>
      <c r="AH4" s="2522"/>
      <c r="AI4" s="2522"/>
      <c r="AJ4" s="2523"/>
      <c r="AK4" s="1623" t="s">
        <v>556</v>
      </c>
      <c r="AM4" s="861"/>
      <c r="AN4" s="861" t="str">
        <f>IF(T4="","",T4)</f>
        <v>Наименование централизованной системы водоотведения</v>
      </c>
      <c r="AO4" s="861"/>
      <c r="AP4" s="861"/>
    </row>
    <row customHeight="1" ht="23.25" hidden="1">
      <c r="A5" s="1729"/>
      <c r="B5" s="1729"/>
      <c r="C5" s="1729"/>
      <c r="D5" s="1729"/>
      <c r="E5" s="2528"/>
      <c r="F5" s="2528"/>
      <c r="G5" s="2528"/>
      <c r="H5" s="2528"/>
      <c r="I5" s="2529">
        <f>S4&amp;".1"</f>
      </c>
      <c r="J5" s="1729"/>
      <c r="K5" s="1729"/>
      <c r="L5" s="1730"/>
      <c r="P5" s="2531">
        <v>1</v>
      </c>
      <c r="Q5" s="1847"/>
      <c r="R5" s="717"/>
      <c r="S5" s="1859">
        <f>$I5</f>
      </c>
      <c r="T5" s="646" t="s">
        <v>522</v>
      </c>
      <c r="U5" s="661"/>
      <c r="V5" s="2614"/>
      <c r="W5" s="2615"/>
      <c r="X5" s="2615"/>
      <c r="Y5" s="2615"/>
      <c r="Z5" s="2615"/>
      <c r="AA5" s="2615"/>
      <c r="AB5" s="2616"/>
      <c r="AC5" s="2617"/>
      <c r="AD5" s="2618"/>
      <c r="AE5" s="2618"/>
      <c r="AF5" s="2618"/>
      <c r="AG5" s="2618"/>
      <c r="AH5" s="2618"/>
      <c r="AI5" s="2618"/>
      <c r="AJ5" s="2619"/>
      <c r="AK5" s="1623" t="s">
        <v>523</v>
      </c>
      <c r="AM5" s="861"/>
      <c r="AN5" s="861" t="str">
        <f>IF(T5="","",T5)</f>
        <v>Наименование признака дифференциации</v>
      </c>
      <c r="AO5" s="861"/>
      <c r="AP5" s="861"/>
    </row>
    <row customHeight="1" ht="23.25" hidden="1">
      <c r="A6" s="1729"/>
      <c r="B6" s="1729"/>
      <c r="C6" s="1729"/>
      <c r="D6" s="1729"/>
      <c r="E6" s="2528"/>
      <c r="F6" s="2528"/>
      <c r="G6" s="2528"/>
      <c r="H6" s="2528"/>
      <c r="I6" s="2530"/>
      <c r="J6" s="2529">
        <f>I5&amp;".1"</f>
      </c>
      <c r="K6" s="1729"/>
      <c r="L6" s="1730" t="s">
        <v>447</v>
      </c>
      <c r="P6" s="2531"/>
      <c r="Q6" s="2531">
        <v>1</v>
      </c>
      <c r="R6" s="718"/>
      <c r="S6" s="1859">
        <f>$J6</f>
      </c>
      <c r="T6" s="647" t="s">
        <v>448</v>
      </c>
      <c r="U6" s="661"/>
      <c r="V6" s="2515"/>
      <c r="W6" s="2516"/>
      <c r="X6" s="2516"/>
      <c r="Y6" s="2516"/>
      <c r="Z6" s="2516"/>
      <c r="AA6" s="2516"/>
      <c r="AB6" s="2517"/>
      <c r="AC6" s="2515"/>
      <c r="AD6" s="2516"/>
      <c r="AE6" s="2516"/>
      <c r="AF6" s="2516"/>
      <c r="AG6" s="2516"/>
      <c r="AH6" s="2516"/>
      <c r="AI6" s="2516"/>
      <c r="AJ6" s="2517"/>
      <c r="AK6" s="1673" t="s">
        <v>524</v>
      </c>
      <c r="AM6" s="861"/>
      <c r="AN6" s="861" t="str">
        <f>IF(T6="","",T6)</f>
        <v>Группа потребителей</v>
      </c>
      <c r="AO6" s="861"/>
      <c r="AP6" s="861"/>
    </row>
    <row customHeight="1" ht="23.25" hidden="1">
      <c r="A7" s="1729"/>
      <c r="B7" s="1729"/>
      <c r="C7" s="1729"/>
      <c r="D7" s="1729"/>
      <c r="E7" s="2528"/>
      <c r="F7" s="2528"/>
      <c r="G7" s="2528"/>
      <c r="H7" s="2528"/>
      <c r="I7" s="2530"/>
      <c r="J7" s="2530"/>
      <c r="K7" s="2529">
        <f>J6&amp;".1"</f>
      </c>
      <c r="L7" s="1730"/>
      <c r="P7" s="2531"/>
      <c r="Q7" s="2531"/>
      <c r="R7" s="718">
        <v>1</v>
      </c>
      <c r="S7" s="1859">
        <f>$K7</f>
      </c>
      <c r="T7" s="1803"/>
      <c r="U7" s="661"/>
      <c r="V7" s="1112"/>
      <c r="W7" s="1112"/>
      <c r="X7" s="1622"/>
      <c r="Y7" s="2532"/>
      <c r="Z7" s="2402" t="s">
        <v>66</v>
      </c>
      <c r="AA7" s="2532"/>
      <c r="AB7" s="2402" t="s">
        <v>66</v>
      </c>
      <c r="AC7" s="1112"/>
      <c r="AD7" s="1112"/>
      <c r="AE7" s="1622"/>
      <c r="AF7" s="2532"/>
      <c r="AG7" s="2402" t="s">
        <v>66</v>
      </c>
      <c r="AH7" s="2534"/>
      <c r="AI7" s="2402" t="s">
        <v>66</v>
      </c>
      <c r="AJ7" s="1804"/>
      <c r="AK7" s="26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72">
        <f>STRCHECKDATE(V8:AJ8)</f>
      </c>
      <c r="AM7" s="861"/>
      <c r="AN7" s="861" t="str">
        <f>IF(T7="","",T7)</f>
        <v/>
      </c>
      <c r="AO7" s="861"/>
      <c r="AP7" s="861"/>
    </row>
    <row customHeight="1" ht="14.25" hidden="1">
      <c r="A8" s="1729"/>
      <c r="B8" s="1729"/>
      <c r="C8" s="1729"/>
      <c r="D8" s="1729"/>
      <c r="E8" s="2528"/>
      <c r="F8" s="2528"/>
      <c r="G8" s="2528"/>
      <c r="H8" s="2528"/>
      <c r="I8" s="2530"/>
      <c r="J8" s="2530"/>
      <c r="K8" s="2529"/>
      <c r="L8" s="1730"/>
      <c r="P8" s="2531"/>
      <c r="Q8" s="2531"/>
      <c r="R8" s="718"/>
      <c r="S8" s="1856"/>
      <c r="T8" s="661"/>
      <c r="U8" s="661"/>
      <c r="V8" s="686"/>
      <c r="W8" s="686"/>
      <c r="X8" s="689" t="str">
        <f>Y7&amp;"-"&amp;AA7</f>
        <v>-</v>
      </c>
      <c r="Y8" s="2533"/>
      <c r="Z8" s="2402"/>
      <c r="AA8" s="2533"/>
      <c r="AB8" s="2402"/>
      <c r="AC8" s="686"/>
      <c r="AD8" s="686"/>
      <c r="AE8" s="689" t="str">
        <f>AF7&amp;"-"&amp;AH7</f>
        <v>-</v>
      </c>
      <c r="AF8" s="2533"/>
      <c r="AG8" s="2402"/>
      <c r="AH8" s="2535"/>
      <c r="AI8" s="2402"/>
      <c r="AJ8" s="1805"/>
      <c r="AK8" s="2620"/>
      <c r="AM8" s="861"/>
      <c r="AN8" s="861" t="str">
        <f>IF(T8="","",T8)</f>
        <v/>
      </c>
      <c r="AO8" s="861"/>
      <c r="AP8" s="861"/>
    </row>
    <row customHeight="1" ht="21" hidden="1">
      <c r="A9" s="1729"/>
      <c r="B9" s="1729"/>
      <c r="C9" s="1729"/>
      <c r="D9" s="1729"/>
      <c r="E9" s="2528"/>
      <c r="F9" s="2528"/>
      <c r="G9" s="2528"/>
      <c r="H9" s="2528"/>
      <c r="I9" s="2530"/>
      <c r="J9" s="2529"/>
      <c r="K9" s="1729"/>
      <c r="L9" s="1730"/>
      <c r="P9" s="2531"/>
      <c r="Q9" s="2531"/>
      <c r="R9" s="717"/>
      <c r="S9" s="1644"/>
      <c r="T9" s="648" t="s">
        <v>525</v>
      </c>
      <c r="U9" s="728"/>
      <c r="V9" s="728"/>
      <c r="W9" s="728"/>
      <c r="X9" s="728"/>
      <c r="Y9" s="728"/>
      <c r="Z9" s="728"/>
      <c r="AA9" s="728"/>
      <c r="AB9" s="728"/>
      <c r="AC9" s="728"/>
      <c r="AD9" s="728"/>
      <c r="AE9" s="728"/>
      <c r="AF9" s="728"/>
      <c r="AG9" s="728"/>
      <c r="AH9" s="728"/>
      <c r="AI9" s="728"/>
      <c r="AJ9" s="728"/>
      <c r="AK9" s="1623" t="s">
        <v>526</v>
      </c>
      <c r="AM9" s="861"/>
      <c r="AN9" s="861" t="str">
        <f>IF(T9="","",T9)</f>
        <v>Добавить значение признака дифференциации</v>
      </c>
      <c r="AO9" s="861"/>
      <c r="AP9" s="861"/>
    </row>
    <row customHeight="1" ht="21" hidden="1">
      <c r="A10" s="1729"/>
      <c r="B10" s="1729"/>
      <c r="C10" s="1729"/>
      <c r="D10" s="1729"/>
      <c r="E10" s="2528"/>
      <c r="F10" s="2528"/>
      <c r="G10" s="2528"/>
      <c r="H10" s="2528"/>
      <c r="I10" s="2529"/>
      <c r="J10" s="1729"/>
      <c r="K10" s="1729"/>
      <c r="L10" s="1730"/>
      <c r="P10" s="2531"/>
      <c r="Q10" s="1847"/>
      <c r="R10" s="717"/>
      <c r="S10" s="1644"/>
      <c r="T10" s="726" t="s">
        <v>453</v>
      </c>
      <c r="U10" s="728"/>
      <c r="V10" s="728"/>
      <c r="W10" s="728"/>
      <c r="X10" s="728"/>
      <c r="Y10" s="728"/>
      <c r="Z10" s="728"/>
      <c r="AA10" s="728"/>
      <c r="AB10" s="727"/>
      <c r="AC10" s="728"/>
      <c r="AD10" s="728"/>
      <c r="AE10" s="728"/>
      <c r="AF10" s="728"/>
      <c r="AG10" s="728"/>
      <c r="AH10" s="728"/>
      <c r="AI10" s="727"/>
      <c r="AJ10" s="728"/>
      <c r="AK10" s="1806"/>
      <c r="AM10" s="861"/>
      <c r="AN10" s="861" t="str">
        <f>IF(T10="","",T10)</f>
        <v>Добавить группу потребителей</v>
      </c>
      <c r="AO10" s="861"/>
      <c r="AP10" s="861"/>
    </row>
    <row customHeight="1" ht="21" hidden="1">
      <c r="A11" s="1729"/>
      <c r="B11" s="1729"/>
      <c r="C11" s="1729"/>
      <c r="D11" s="1729"/>
      <c r="E11" s="2528"/>
      <c r="F11" s="2528"/>
      <c r="G11" s="2528"/>
      <c r="H11" s="2527"/>
      <c r="I11" s="1729"/>
      <c r="J11" s="1729"/>
      <c r="K11" s="1729"/>
      <c r="L11" s="1730"/>
      <c r="M11" s="1731"/>
      <c r="N11" s="1731"/>
      <c r="O11" s="898"/>
      <c r="P11" s="721"/>
      <c r="Q11" s="736"/>
      <c r="R11" s="716"/>
      <c r="S11" s="1644"/>
      <c r="T11" s="733" t="s">
        <v>527</v>
      </c>
      <c r="U11" s="728"/>
      <c r="V11" s="728"/>
      <c r="W11" s="728"/>
      <c r="X11" s="728"/>
      <c r="Y11" s="728"/>
      <c r="Z11" s="728"/>
      <c r="AA11" s="728"/>
      <c r="AB11" s="727"/>
      <c r="AC11" s="728"/>
      <c r="AD11" s="728"/>
      <c r="AE11" s="728"/>
      <c r="AF11" s="728"/>
      <c r="AG11" s="728"/>
      <c r="AH11" s="728"/>
      <c r="AI11" s="727"/>
      <c r="AJ11" s="728"/>
      <c r="AK11" s="664"/>
      <c r="AM11" s="861"/>
      <c r="AN11" s="861" t="str">
        <f>IF(T11="","",T11)</f>
        <v>Добавить наименование признака дифференциации</v>
      </c>
      <c r="AO11" s="861"/>
      <c r="AP11" s="861"/>
    </row>
    <row s="32198" customFormat="1" customHeight="1" ht="14.25" hidden="1">
      <c r="A12" s="1709"/>
      <c r="B12" s="1709"/>
      <c r="C12" s="1680"/>
      <c r="D12" s="1680"/>
      <c r="E12" s="2528"/>
      <c r="F12" s="2527"/>
      <c r="G12" s="1680"/>
      <c r="H12" s="1680"/>
      <c r="I12" s="1680"/>
      <c r="J12" s="1680"/>
      <c r="K12" s="1680"/>
      <c r="L12" s="1860"/>
      <c r="M12" s="1687"/>
      <c r="N12" s="1687"/>
      <c r="P12" s="1682"/>
      <c r="Q12" s="1683"/>
      <c r="R12" s="1682"/>
      <c r="S12" s="1688"/>
      <c r="T12" s="1691" t="s">
        <v>262</v>
      </c>
      <c r="U12" s="1690"/>
      <c r="V12" s="1690"/>
      <c r="W12" s="1690"/>
      <c r="X12" s="1690"/>
      <c r="Y12" s="1690"/>
      <c r="Z12" s="1690"/>
      <c r="AA12" s="1690"/>
      <c r="AB12" s="1690"/>
      <c r="AC12" s="1690"/>
      <c r="AD12" s="1690"/>
      <c r="AE12" s="1690"/>
      <c r="AF12" s="1690"/>
      <c r="AG12" s="1690"/>
      <c r="AH12" s="1690"/>
      <c r="AI12" s="1690"/>
      <c r="AJ12" s="1690"/>
      <c r="AK12" s="1690"/>
      <c r="AM12" s="1150"/>
      <c r="AN12" s="1150" t="str">
        <f>IF(T12="","",T12)</f>
        <v>Добавить централизованную систему для дифференциации</v>
      </c>
      <c r="AO12" s="1150"/>
      <c r="AP12" s="1150"/>
    </row>
    <row s="32289" customFormat="1" customHeight="1" ht="14.25" hidden="1">
      <c r="A13" s="1709"/>
      <c r="B13" s="1709"/>
      <c r="C13" s="1709"/>
      <c r="D13" s="1709"/>
      <c r="E13" s="2527"/>
      <c r="F13" s="1709"/>
      <c r="G13" s="1709"/>
      <c r="H13" s="1709"/>
      <c r="I13" s="1709"/>
      <c r="J13" s="1709"/>
      <c r="K13" s="1709"/>
      <c r="L13" s="1712"/>
      <c r="M13" s="1687"/>
      <c r="N13" s="1687"/>
      <c r="O13" s="879"/>
      <c r="P13" s="741"/>
      <c r="Q13" s="1710"/>
      <c r="R13" s="741"/>
      <c r="S13" s="1688"/>
      <c r="T13" s="1691" t="s">
        <v>270</v>
      </c>
      <c r="U13" s="1690"/>
      <c r="V13" s="1690"/>
      <c r="W13" s="1690"/>
      <c r="X13" s="1690"/>
      <c r="Y13" s="1690"/>
      <c r="Z13" s="1690"/>
      <c r="AA13" s="1690"/>
      <c r="AB13" s="1690"/>
      <c r="AC13" s="1690"/>
      <c r="AD13" s="1690"/>
      <c r="AE13" s="1690"/>
      <c r="AF13" s="1690"/>
      <c r="AG13" s="1690"/>
      <c r="AH13" s="1690"/>
      <c r="AI13" s="1690"/>
      <c r="AJ13" s="1690"/>
      <c r="AK13" s="1690"/>
      <c r="AM13" s="861"/>
      <c r="AN13" s="861" t="str">
        <f>IF(T13="","",T13)</f>
        <v>Добавить территорию для дифференциации</v>
      </c>
      <c r="AO13" s="861"/>
      <c r="AP13" s="861"/>
    </row>
    <row customHeight="1" ht="14.25" hidden="1">
      <c r="AB14" s="688"/>
      <c r="AI14" s="688"/>
    </row>
    <row customHeight="1" ht="14.25" hidden="1">
      <c r="AC15" s="1726"/>
      <c r="AD15" s="1726"/>
      <c r="AE15" s="1727"/>
      <c r="AF15" s="2525"/>
      <c r="AG15" s="2524" t="s">
        <v>66</v>
      </c>
      <c r="AH15" s="2525"/>
      <c r="AI15" s="2524" t="s">
        <v>66</v>
      </c>
    </row>
    <row customHeight="1" ht="14.25" hidden="1">
      <c r="AC16" s="1726"/>
      <c r="AD16" s="1726"/>
      <c r="AE16" s="689" t="str">
        <f>AF15&amp;"-"&amp;AH15</f>
        <v>-</v>
      </c>
      <c r="AF16" s="2524"/>
      <c r="AG16" s="2524"/>
      <c r="AH16" s="2524"/>
      <c r="AI16" s="2524"/>
    </row>
    <row customHeight="1" ht="14.25" hidden="1">
      <c r="AI17" s="688"/>
    </row>
    <row s="32217" customFormat="1" customHeight="1" ht="22.5" hidden="1">
      <c r="L18" s="1844"/>
      <c r="M18" s="1728"/>
      <c r="N18" s="1728"/>
      <c r="O18" s="1733" t="s">
        <v>456</v>
      </c>
      <c r="P18" s="1728"/>
      <c r="Q18" s="1737"/>
      <c r="R18" s="1737"/>
      <c r="S18" s="1090"/>
      <c r="Y18" s="1733"/>
      <c r="AA18" s="1733"/>
      <c r="AB18" s="1732"/>
      <c r="AF18" s="1733"/>
      <c r="AH18" s="1733"/>
      <c r="AI18" s="1732"/>
      <c r="AL18" s="872"/>
      <c r="AM18" s="872"/>
      <c r="AN18" s="872"/>
      <c r="AO18" s="872"/>
      <c r="AP18" s="872"/>
    </row>
    <row s="32217" customFormat="1" customHeight="1" ht="14.25" hidden="1">
      <c r="L19" s="1844"/>
      <c r="M19" s="1728"/>
      <c r="N19" s="1728"/>
      <c r="O19" s="1728"/>
      <c r="P19" s="1728"/>
      <c r="Q19" s="1737"/>
      <c r="R19" s="1737"/>
      <c r="S19" s="1090"/>
      <c r="AB19" s="1732"/>
      <c r="AI19" s="1732"/>
      <c r="AL19" s="872"/>
      <c r="AM19" s="872"/>
      <c r="AN19" s="872"/>
      <c r="AO19" s="872"/>
      <c r="AP19" s="872"/>
    </row>
    <row s="32217" customFormat="1" customHeight="1" ht="12" hidden="1">
      <c r="L20" s="1844"/>
      <c r="M20" s="1728"/>
      <c r="N20" s="1728"/>
      <c r="O20" s="1730" t="s">
        <v>457</v>
      </c>
      <c r="P20" s="1728"/>
      <c r="Q20" s="1808"/>
      <c r="R20" s="1808"/>
      <c r="S20" s="1090"/>
      <c r="T20" s="1523" t="s">
        <v>458</v>
      </c>
      <c r="Z20" s="547" t="s">
        <v>459</v>
      </c>
      <c r="AB20" s="547" t="s">
        <v>460</v>
      </c>
      <c r="AC20" s="1523" t="s">
        <v>458</v>
      </c>
      <c r="AG20" s="547" t="s">
        <v>461</v>
      </c>
      <c r="AI20" s="547" t="s">
        <v>460</v>
      </c>
    </row>
    <row customHeight="1" ht="14.25" hidden="1">
      <c r="O21" s="1730"/>
    </row>
    <row customHeight="1" ht="14.25" hidden="1">
      <c r="O22" s="1730"/>
    </row>
    <row customHeight="1" ht="14.25">
      <c r="Q23" s="737"/>
      <c r="R23" s="737"/>
      <c r="S23" s="1641"/>
      <c r="T23" s="724"/>
      <c r="U23" s="724"/>
      <c r="V23" s="870"/>
      <c r="W23" s="870"/>
      <c r="X23" s="870"/>
      <c r="Y23" s="870"/>
      <c r="Z23" s="870"/>
      <c r="AA23" s="870"/>
      <c r="AB23" s="870"/>
      <c r="AC23" s="870"/>
      <c r="AD23" s="870"/>
      <c r="AE23" s="870"/>
      <c r="AF23" s="870"/>
      <c r="AG23" s="870"/>
      <c r="AH23" s="870"/>
      <c r="AI23" s="870"/>
    </row>
    <row customHeight="1" ht="14.25">
      <c r="Q24" s="737"/>
      <c r="R24" s="737"/>
      <c r="S24" s="256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560"/>
      <c r="U24" s="2560"/>
      <c r="V24" s="2560"/>
      <c r="W24" s="2560"/>
      <c r="X24" s="2560"/>
      <c r="Y24" s="2560"/>
      <c r="Z24" s="2560"/>
      <c r="AA24" s="2560"/>
      <c r="AB24" s="2560"/>
      <c r="AC24" s="2560"/>
      <c r="AD24" s="2560"/>
      <c r="AE24" s="2560"/>
      <c r="AF24" s="2560"/>
      <c r="AG24" s="2560"/>
      <c r="AH24" s="2560"/>
      <c r="AI24" s="1608"/>
    </row>
    <row customHeight="1" ht="14.25">
      <c r="Q25" s="737"/>
      <c r="R25" s="737"/>
      <c r="S25" s="2561" t="str">
        <f>IF(org=0,"Не определено",org)</f>
        <v>АО "Мурманэнергосбыт"</v>
      </c>
      <c r="T25" s="2561"/>
      <c r="U25" s="2561"/>
      <c r="V25" s="2561"/>
      <c r="W25" s="2561"/>
      <c r="X25" s="2561"/>
      <c r="Y25" s="2561"/>
      <c r="Z25" s="2561"/>
      <c r="AA25" s="2561"/>
      <c r="AB25" s="2561"/>
      <c r="AC25" s="2561"/>
      <c r="AD25" s="2561"/>
      <c r="AE25" s="2561"/>
      <c r="AF25" s="2561"/>
      <c r="AG25" s="2561"/>
      <c r="AH25" s="2561"/>
      <c r="AI25" s="1608"/>
    </row>
    <row customHeight="1" ht="14.25">
      <c r="Q26" s="737"/>
      <c r="R26" s="737"/>
      <c r="S26" s="1641"/>
      <c r="T26" s="724"/>
      <c r="U26" s="724"/>
      <c r="V26" s="683"/>
      <c r="W26" s="683"/>
      <c r="X26" s="683"/>
      <c r="Y26" s="683"/>
      <c r="Z26" s="683"/>
      <c r="AA26" s="683"/>
      <c r="AB26" s="683"/>
      <c r="AC26" s="683"/>
      <c r="AD26" s="683"/>
      <c r="AE26" s="683"/>
      <c r="AF26" s="683"/>
      <c r="AG26" s="683"/>
      <c r="AH26" s="683"/>
      <c r="AI26" s="683"/>
      <c r="AJ26" s="870"/>
    </row>
    <row s="32230" customFormat="1" customHeight="1" ht="25.5">
      <c r="A27" s="1734"/>
      <c r="B27" s="1734"/>
      <c r="C27" s="1734"/>
      <c r="D27" s="1734"/>
      <c r="E27" s="1734"/>
      <c r="F27" s="1734"/>
      <c r="G27" s="1734"/>
      <c r="H27" s="1734"/>
      <c r="I27" s="1734"/>
      <c r="J27" s="1734"/>
      <c r="K27" s="1734"/>
      <c r="L27" s="1735"/>
      <c r="M27" s="1734"/>
      <c r="N27" s="1734"/>
      <c r="O27" s="1734"/>
      <c r="S27" s="2518" t="s">
        <v>38</v>
      </c>
      <c r="T27" s="2518"/>
      <c r="U27" s="1738"/>
      <c r="V27" s="2520" t="str">
        <f>IF(TITLE_NAME_OR_PR_CHANGE="",IF(TITLE_NAME_OR_PR="","",TITLE_NAME_OR_PR),TITLE_NAME_OR_PR_CHANGE)</f>
        <v>Комитет по тарифному регулированию Мурманской области</v>
      </c>
      <c r="W27" s="2520"/>
      <c r="X27" s="2520"/>
      <c r="Y27" s="2520"/>
      <c r="Z27" s="2520"/>
      <c r="AA27" s="2520"/>
      <c r="AB27" s="687"/>
      <c r="AC27" s="2520" t="str">
        <f>IF(TITLE_NAME_OR_PR_CHANGE="",IF(TITLE_NAME_OR_PR="","",TITLE_NAME_OR_PR),TITLE_NAME_OR_PR_CHANGE)</f>
        <v>Комитет по тарифному регулированию Мурманской области</v>
      </c>
      <c r="AD27" s="2520"/>
      <c r="AE27" s="2520"/>
      <c r="AF27" s="2520"/>
      <c r="AG27" s="2520"/>
      <c r="AH27" s="2520"/>
      <c r="AI27" s="687"/>
      <c r="AJ27" s="687"/>
      <c r="AK27" s="641"/>
      <c r="AL27" s="729"/>
      <c r="AM27" s="729"/>
      <c r="AN27" s="729"/>
      <c r="AO27" s="729"/>
      <c r="AP27" s="729"/>
    </row>
    <row s="32230" customFormat="1" customHeight="1" ht="18.75">
      <c r="A28" s="1734"/>
      <c r="B28" s="1734"/>
      <c r="C28" s="1734"/>
      <c r="D28" s="1734"/>
      <c r="E28" s="1734"/>
      <c r="F28" s="1734"/>
      <c r="G28" s="1734"/>
      <c r="H28" s="1734"/>
      <c r="I28" s="1734"/>
      <c r="J28" s="1734"/>
      <c r="K28" s="1734"/>
      <c r="L28" s="1735"/>
      <c r="M28" s="1734"/>
      <c r="N28" s="1734"/>
      <c r="O28" s="1734"/>
      <c r="S28" s="2518" t="s">
        <v>462</v>
      </c>
      <c r="T28" s="2518"/>
      <c r="U28" s="1738"/>
      <c r="V28" s="2519" t="str">
        <f>IF(TITLE_DATE_PR_CHANGE="",IF(TITLE_DATE_PR="","",TITLE_DATE_PR),TITLE_DATE_PR_CHANGE)</f>
        <v>45280</v>
      </c>
      <c r="W28" s="2519"/>
      <c r="X28" s="2519"/>
      <c r="Y28" s="2519"/>
      <c r="Z28" s="2519"/>
      <c r="AA28" s="2519"/>
      <c r="AB28" s="687"/>
      <c r="AC28" s="2519" t="str">
        <f>IF(TITLE_DATE_PR_CHANGE="",IF(TITLE_DATE_PR="","",TITLE_DATE_PR),TITLE_DATE_PR_CHANGE)</f>
        <v>45280</v>
      </c>
      <c r="AD28" s="2519"/>
      <c r="AE28" s="2519"/>
      <c r="AF28" s="2519"/>
      <c r="AG28" s="2519"/>
      <c r="AH28" s="2519"/>
      <c r="AI28" s="687"/>
      <c r="AJ28" s="687"/>
      <c r="AK28" s="641"/>
      <c r="AL28" s="729"/>
      <c r="AM28" s="729"/>
      <c r="AN28" s="729"/>
      <c r="AO28" s="729"/>
      <c r="AP28" s="729"/>
    </row>
    <row s="32230" customFormat="1" customHeight="1" ht="18.75">
      <c r="A29" s="1734"/>
      <c r="B29" s="1734"/>
      <c r="C29" s="1734"/>
      <c r="D29" s="1734"/>
      <c r="E29" s="1734"/>
      <c r="F29" s="1734"/>
      <c r="G29" s="1734"/>
      <c r="H29" s="1734"/>
      <c r="I29" s="1734"/>
      <c r="J29" s="1734"/>
      <c r="K29" s="1734"/>
      <c r="L29" s="1735"/>
      <c r="M29" s="1734"/>
      <c r="N29" s="1734"/>
      <c r="O29" s="1734"/>
      <c r="S29" s="2518" t="s">
        <v>463</v>
      </c>
      <c r="T29" s="2518"/>
      <c r="U29" s="1738"/>
      <c r="V29" s="2520" t="str">
        <f>IF(TITLE_NUMBER_PR_CHANGE="",IF(TITLE_NUMBER_PR="","",TITLE_NUMBER_PR),TITLE_NUMBER_PR_CHANGE)</f>
        <v>51/16</v>
      </c>
      <c r="W29" s="2520"/>
      <c r="X29" s="2520"/>
      <c r="Y29" s="2520"/>
      <c r="Z29" s="2520"/>
      <c r="AA29" s="2520"/>
      <c r="AB29" s="687"/>
      <c r="AC29" s="2520" t="str">
        <f>IF(TITLE_NUMBER_PR_CHANGE="",IF(TITLE_NUMBER_PR="","",TITLE_NUMBER_PR),TITLE_NUMBER_PR_CHANGE)</f>
        <v>51/16</v>
      </c>
      <c r="AD29" s="2520"/>
      <c r="AE29" s="2520"/>
      <c r="AF29" s="2520"/>
      <c r="AG29" s="2520"/>
      <c r="AH29" s="2520"/>
      <c r="AI29" s="687"/>
      <c r="AJ29" s="687"/>
      <c r="AK29" s="641"/>
      <c r="AL29" s="729"/>
      <c r="AM29" s="729"/>
      <c r="AN29" s="729"/>
      <c r="AO29" s="729"/>
      <c r="AP29" s="729"/>
    </row>
    <row s="32230" customFormat="1" customHeight="1" ht="18.75">
      <c r="A30" s="1734"/>
      <c r="B30" s="1734"/>
      <c r="C30" s="1734"/>
      <c r="D30" s="1734"/>
      <c r="E30" s="1734"/>
      <c r="F30" s="1734"/>
      <c r="G30" s="1734"/>
      <c r="H30" s="1734"/>
      <c r="I30" s="1734"/>
      <c r="J30" s="1734"/>
      <c r="K30" s="1734"/>
      <c r="L30" s="1735"/>
      <c r="M30" s="1734"/>
      <c r="N30" s="1734"/>
      <c r="O30" s="1734"/>
      <c r="S30" s="2518" t="s">
        <v>40</v>
      </c>
      <c r="T30" s="2518"/>
      <c r="U30" s="1738"/>
      <c r="V30" s="2520" t="str">
        <f>IF(TITLE_IST_PUB_CHANGE="",IF(TITLE_IST_PUB="","",TITLE_IST_PUB),TITLE_IST_PUB_CHANGE)</f>
        <v>https://npa.gov-murman.ru/bitrix/components/b1team/govmurman.element.file/download.php?ID=508455&amp;FID=750728</v>
      </c>
      <c r="W30" s="2520"/>
      <c r="X30" s="2520"/>
      <c r="Y30" s="2520"/>
      <c r="Z30" s="2520"/>
      <c r="AA30" s="2520"/>
      <c r="AB30" s="687"/>
      <c r="AC30" s="2520" t="str">
        <f>IF(TITLE_IST_PUB_CHANGE="",IF(TITLE_IST_PUB="","",TITLE_IST_PUB),TITLE_IST_PUB_CHANGE)</f>
        <v>https://npa.gov-murman.ru/bitrix/components/b1team/govmurman.element.file/download.php?ID=508455&amp;FID=750728</v>
      </c>
      <c r="AD30" s="2520"/>
      <c r="AE30" s="2520"/>
      <c r="AF30" s="2520"/>
      <c r="AG30" s="2520"/>
      <c r="AH30" s="2520"/>
      <c r="AI30" s="687"/>
      <c r="AJ30" s="687"/>
      <c r="AK30" s="641"/>
      <c r="AL30" s="729"/>
      <c r="AM30" s="729"/>
      <c r="AN30" s="729"/>
      <c r="AO30" s="729"/>
      <c r="AP30" s="729"/>
    </row>
    <row customHeight="1" ht="14.25" hidden="1">
      <c r="Q31" s="737"/>
      <c r="R31" s="737"/>
      <c r="S31" s="1641"/>
      <c r="T31" s="724"/>
      <c r="U31" s="724"/>
      <c r="V31" s="683"/>
      <c r="W31" s="683"/>
      <c r="X31" s="683"/>
      <c r="Y31" s="683"/>
      <c r="Z31" s="683"/>
      <c r="AA31" s="683"/>
      <c r="AB31" s="683"/>
      <c r="AC31" s="683"/>
      <c r="AD31" s="683"/>
      <c r="AE31" s="683"/>
      <c r="AF31" s="683"/>
      <c r="AG31" s="683"/>
      <c r="AH31" s="683"/>
      <c r="AI31" s="683"/>
      <c r="AJ31" s="870"/>
    </row>
    <row s="32230" customFormat="1" customHeight="1" ht="18.75" hidden="1">
      <c r="A32" s="1734"/>
      <c r="B32" s="1734"/>
      <c r="C32" s="1734"/>
      <c r="D32" s="1734"/>
      <c r="E32" s="1734"/>
      <c r="F32" s="1734"/>
      <c r="G32" s="1734"/>
      <c r="H32" s="1734"/>
      <c r="I32" s="1734"/>
      <c r="J32" s="1734"/>
      <c r="K32" s="1734"/>
      <c r="L32" s="1735"/>
      <c r="M32" s="1734"/>
      <c r="N32" s="1734"/>
      <c r="O32" s="1734"/>
      <c r="S32" s="2518" t="s">
        <v>464</v>
      </c>
      <c r="T32" s="2518"/>
      <c r="U32" s="1738"/>
      <c r="V32" s="2519" t="str">
        <f>IF(TITLE_DATE_PR_CHANGE="",IF(TITLE_DATE_PR="","",TITLE_DATE_PR),TITLE_DATE_PR_CHANGE)</f>
        <v>45280</v>
      </c>
      <c r="W32" s="2519"/>
      <c r="X32" s="2519"/>
      <c r="Y32" s="2519"/>
      <c r="Z32" s="2519"/>
      <c r="AA32" s="2519"/>
      <c r="AB32" s="687"/>
      <c r="AC32" s="2519" t="str">
        <f>IF(TITLE_DATE_PR_CHANGE="",IF(TITLE_DATE_PR="","",TITLE_DATE_PR),TITLE_DATE_PR_CHANGE)</f>
        <v>45280</v>
      </c>
      <c r="AD32" s="2519"/>
      <c r="AE32" s="2519"/>
      <c r="AF32" s="2519"/>
      <c r="AG32" s="2519"/>
      <c r="AH32" s="2519"/>
      <c r="AI32" s="687"/>
      <c r="AJ32" s="687"/>
      <c r="AK32" s="641"/>
      <c r="AL32" s="729"/>
      <c r="AM32" s="729"/>
      <c r="AN32" s="729"/>
      <c r="AO32" s="729"/>
      <c r="AP32" s="729"/>
    </row>
    <row s="32230" customFormat="1" customHeight="1" ht="18.75" hidden="1">
      <c r="A33" s="1734"/>
      <c r="B33" s="1734"/>
      <c r="C33" s="1734"/>
      <c r="D33" s="1734"/>
      <c r="E33" s="1734"/>
      <c r="F33" s="1734"/>
      <c r="G33" s="1734"/>
      <c r="H33" s="1734"/>
      <c r="I33" s="1734"/>
      <c r="J33" s="1734"/>
      <c r="K33" s="1734"/>
      <c r="L33" s="1735"/>
      <c r="M33" s="1734"/>
      <c r="N33" s="1734"/>
      <c r="O33" s="1734"/>
      <c r="S33" s="2518" t="s">
        <v>465</v>
      </c>
      <c r="T33" s="2518"/>
      <c r="U33" s="1738"/>
      <c r="V33" s="2520" t="str">
        <f>IF(TITLE_NUMBER_PR_CHANGE="",IF(TITLE_NUMBER_PR="","",TITLE_NUMBER_PR),TITLE_NUMBER_PR_CHANGE)</f>
        <v>51/16</v>
      </c>
      <c r="W33" s="2520"/>
      <c r="X33" s="2520"/>
      <c r="Y33" s="2520"/>
      <c r="Z33" s="2520"/>
      <c r="AA33" s="2520"/>
      <c r="AB33" s="687"/>
      <c r="AC33" s="2520" t="str">
        <f>IF(TITLE_NUMBER_PR_CHANGE="",IF(TITLE_NUMBER_PR="","",TITLE_NUMBER_PR),TITLE_NUMBER_PR_CHANGE)</f>
        <v>51/16</v>
      </c>
      <c r="AD33" s="2520"/>
      <c r="AE33" s="2520"/>
      <c r="AF33" s="2520"/>
      <c r="AG33" s="2520"/>
      <c r="AH33" s="2520"/>
      <c r="AI33" s="687"/>
      <c r="AJ33" s="687"/>
      <c r="AK33" s="641"/>
      <c r="AL33" s="729"/>
      <c r="AM33" s="729"/>
      <c r="AN33" s="729"/>
      <c r="AO33" s="729"/>
      <c r="AP33" s="729"/>
    </row>
    <row s="32230" customFormat="1" customHeight="1" ht="0.75">
      <c r="A34" s="1734"/>
      <c r="B34" s="1734"/>
      <c r="C34" s="1734"/>
      <c r="D34" s="1734"/>
      <c r="E34" s="1734"/>
      <c r="F34" s="1734"/>
      <c r="G34" s="1734"/>
      <c r="H34" s="1734"/>
      <c r="I34" s="1734"/>
      <c r="J34" s="1734"/>
      <c r="K34" s="1734"/>
      <c r="L34" s="1735"/>
      <c r="M34" s="1734"/>
      <c r="N34" s="1734"/>
      <c r="O34" s="1734"/>
      <c r="S34" s="684"/>
      <c r="T34" s="684"/>
      <c r="U34" s="1854"/>
      <c r="V34" s="687"/>
      <c r="W34" s="687"/>
      <c r="X34" s="687"/>
      <c r="Y34" s="687"/>
      <c r="Z34" s="687"/>
      <c r="AA34" s="687"/>
      <c r="AB34" s="639" t="s">
        <v>466</v>
      </c>
      <c r="AC34" s="687"/>
      <c r="AD34" s="687"/>
      <c r="AE34" s="687"/>
      <c r="AF34" s="687"/>
      <c r="AG34" s="687"/>
      <c r="AH34" s="687"/>
      <c r="AI34" s="639" t="s">
        <v>466</v>
      </c>
      <c r="AL34" s="729"/>
      <c r="AM34" s="729"/>
      <c r="AN34" s="729"/>
      <c r="AO34" s="729"/>
      <c r="AP34" s="729"/>
    </row>
    <row customHeight="1" ht="14.25">
      <c r="Q35" s="737"/>
      <c r="R35" s="737"/>
      <c r="S35" s="1641"/>
      <c r="T35" s="724"/>
      <c r="U35" s="1609"/>
      <c r="V35" s="2544"/>
      <c r="W35" s="2544"/>
      <c r="X35" s="2544"/>
      <c r="Y35" s="2544"/>
      <c r="Z35" s="2544"/>
      <c r="AA35" s="2544"/>
      <c r="AB35" s="2544"/>
      <c r="AC35" s="2544"/>
      <c r="AD35" s="2544"/>
      <c r="AE35" s="2544"/>
      <c r="AF35" s="2544"/>
      <c r="AG35" s="2544"/>
      <c r="AH35" s="2544"/>
      <c r="AI35" s="2544"/>
    </row>
    <row customHeight="1" ht="14.25">
      <c r="Q36" s="737"/>
      <c r="R36" s="737"/>
      <c r="S36" s="2392" t="s">
        <v>341</v>
      </c>
      <c r="T36" s="2392"/>
      <c r="U36" s="2392"/>
      <c r="V36" s="2392"/>
      <c r="W36" s="2392"/>
      <c r="X36" s="2392"/>
      <c r="Y36" s="2392"/>
      <c r="Z36" s="2392"/>
      <c r="AA36" s="2392"/>
      <c r="AB36" s="2392"/>
      <c r="AC36" s="2392"/>
      <c r="AD36" s="2392"/>
      <c r="AE36" s="2392"/>
      <c r="AF36" s="2392"/>
      <c r="AG36" s="2392"/>
      <c r="AH36" s="2392"/>
      <c r="AI36" s="2392"/>
      <c r="AJ36" s="2392"/>
      <c r="AK36" s="2392" t="s">
        <v>342</v>
      </c>
    </row>
    <row customHeight="1" ht="14.25">
      <c r="Q37" s="737"/>
      <c r="R37" s="737"/>
      <c r="S37" s="2545" t="s">
        <v>87</v>
      </c>
      <c r="T37" s="2482" t="s">
        <v>467</v>
      </c>
      <c r="U37" s="662"/>
      <c r="V37" s="2546" t="s">
        <v>468</v>
      </c>
      <c r="W37" s="2547"/>
      <c r="X37" s="2547"/>
      <c r="Y37" s="2547"/>
      <c r="Z37" s="2547"/>
      <c r="AA37" s="2548"/>
      <c r="AB37" s="2549" t="s">
        <v>469</v>
      </c>
      <c r="AC37" s="2546" t="s">
        <v>468</v>
      </c>
      <c r="AD37" s="2547"/>
      <c r="AE37" s="2547"/>
      <c r="AF37" s="2547"/>
      <c r="AG37" s="2547"/>
      <c r="AH37" s="2548"/>
      <c r="AI37" s="2549" t="s">
        <v>470</v>
      </c>
      <c r="AJ37" s="2552" t="s">
        <v>471</v>
      </c>
      <c r="AK37" s="2392"/>
    </row>
    <row customHeight="1" ht="33.75">
      <c r="Q38" s="737"/>
      <c r="R38" s="737"/>
      <c r="S38" s="2545"/>
      <c r="T38" s="2482"/>
      <c r="U38" s="1393"/>
      <c r="V38" s="1849" t="s">
        <v>528</v>
      </c>
      <c r="W38" s="2538" t="s">
        <v>474</v>
      </c>
      <c r="X38" s="2540"/>
      <c r="Y38" s="2538" t="s">
        <v>475</v>
      </c>
      <c r="Z38" s="2539"/>
      <c r="AA38" s="2540"/>
      <c r="AB38" s="2550"/>
      <c r="AC38" s="1849" t="s">
        <v>528</v>
      </c>
      <c r="AD38" s="2538" t="s">
        <v>474</v>
      </c>
      <c r="AE38" s="2540"/>
      <c r="AF38" s="2538" t="s">
        <v>475</v>
      </c>
      <c r="AG38" s="2539"/>
      <c r="AH38" s="2540"/>
      <c r="AI38" s="2550"/>
      <c r="AJ38" s="2553"/>
      <c r="AK38" s="2392"/>
    </row>
    <row customHeight="1" ht="86.25">
      <c r="A39" s="1736"/>
      <c r="B39" s="1736" t="s">
        <v>143</v>
      </c>
      <c r="C39" s="1736" t="s">
        <v>144</v>
      </c>
      <c r="D39" s="1736" t="s">
        <v>145</v>
      </c>
      <c r="E39" s="1730" t="s">
        <v>476</v>
      </c>
      <c r="F39" s="1730" t="s">
        <v>477</v>
      </c>
      <c r="G39" s="1730" t="s">
        <v>478</v>
      </c>
      <c r="H39" s="1730"/>
      <c r="I39" s="1730" t="s">
        <v>529</v>
      </c>
      <c r="J39" s="1730" t="s">
        <v>481</v>
      </c>
      <c r="K39" s="1730" t="s">
        <v>530</v>
      </c>
      <c r="L39" s="1730" t="s">
        <v>457</v>
      </c>
      <c r="Q39" s="737"/>
      <c r="R39" s="737"/>
      <c r="S39" s="2545"/>
      <c r="T39" s="2482"/>
      <c r="U39" s="663"/>
      <c r="V39" s="1849" t="s">
        <v>557</v>
      </c>
      <c r="W39" s="1587" t="s">
        <v>558</v>
      </c>
      <c r="X39" s="1587" t="s">
        <v>533</v>
      </c>
      <c r="Y39" s="1855" t="s">
        <v>485</v>
      </c>
      <c r="Z39" s="2541" t="s">
        <v>486</v>
      </c>
      <c r="AA39" s="2542"/>
      <c r="AB39" s="2551"/>
      <c r="AC39" s="1849" t="s">
        <v>557</v>
      </c>
      <c r="AD39" s="1587" t="s">
        <v>558</v>
      </c>
      <c r="AE39" s="1587" t="s">
        <v>533</v>
      </c>
      <c r="AF39" s="1855" t="s">
        <v>485</v>
      </c>
      <c r="AG39" s="2541" t="s">
        <v>486</v>
      </c>
      <c r="AH39" s="2542"/>
      <c r="AI39" s="2551"/>
      <c r="AJ39" s="2554"/>
      <c r="AK39" s="2392"/>
    </row>
    <row s="32049" customFormat="1" customHeight="1" ht="0">
      <c r="A40" s="1736"/>
      <c r="B40" s="1736"/>
      <c r="C40" s="1736"/>
      <c r="D40" s="1736"/>
      <c r="E40" s="1736"/>
      <c r="F40" s="1736"/>
      <c r="G40" s="1736"/>
      <c r="H40" s="1736"/>
      <c r="I40" s="1736"/>
      <c r="J40" s="1736"/>
      <c r="K40" s="1736"/>
      <c r="L40" s="1730"/>
      <c r="M40" s="1728"/>
      <c r="N40" s="1728"/>
      <c r="O40" s="1728"/>
      <c r="P40" s="1611"/>
      <c r="Q40" s="1612"/>
      <c r="R40" s="1619">
        <v>1</v>
      </c>
      <c r="S40" s="1643" t="s">
        <v>118</v>
      </c>
      <c r="T40" s="1620" t="s">
        <v>102</v>
      </c>
      <c r="U40" s="1610" t="str">
        <f>OFFSET(U40,0,-1)</f>
        <v>2</v>
      </c>
      <c r="V40" s="1848">
        <f>OFFSET(V40,0,-1)+1</f>
        <v>3</v>
      </c>
      <c r="W40" s="1848">
        <f>OFFSET(W40,0,-1)+1</f>
        <v>4</v>
      </c>
      <c r="X40" s="1848">
        <f>OFFSET(X40,0,-1)+1</f>
        <v>5</v>
      </c>
      <c r="Y40" s="1848">
        <f>OFFSET(Y40,0,-1)+1</f>
        <v>6</v>
      </c>
      <c r="Z40" s="2543">
        <f>OFFSET(Z40,0,-1)+1</f>
        <v>7</v>
      </c>
      <c r="AA40" s="2543"/>
      <c r="AB40" s="1848">
        <f>OFFSET(AB40,0,-2)+1</f>
        <v>8</v>
      </c>
      <c r="AC40" s="1848">
        <f>OFFSET(AC40,0,-1)+1</f>
        <v>9</v>
      </c>
      <c r="AD40" s="1848">
        <f>OFFSET(AD40,0,-1)+1</f>
        <v>10</v>
      </c>
      <c r="AE40" s="1848">
        <f>OFFSET(AE40,0,-1)+1</f>
        <v>11</v>
      </c>
      <c r="AF40" s="1848">
        <f>OFFSET(AF40,0,-1)+1</f>
        <v>12</v>
      </c>
      <c r="AG40" s="2543">
        <f>OFFSET(AG40,0,-1)+1</f>
        <v>13</v>
      </c>
      <c r="AH40" s="2543"/>
      <c r="AI40" s="1848">
        <f>OFFSET(AI40,0,-2)+1</f>
        <v>14</v>
      </c>
      <c r="AJ40" s="1610">
        <f>OFFSET(AJ40,0,-1)</f>
        <v>14</v>
      </c>
      <c r="AK40" s="1848">
        <f>OFFSET(AK40,0,-1)+1</f>
        <v>15</v>
      </c>
      <c r="AL40" s="872"/>
      <c r="AM40" s="872"/>
      <c r="AN40" s="872"/>
      <c r="AO40" s="872"/>
      <c r="AP40" s="872"/>
    </row>
    <row customHeight="1" ht="23.25">
      <c r="A41" s="1729" t="s">
        <v>312</v>
      </c>
      <c r="B41" s="1729"/>
      <c r="C41" s="1729"/>
      <c r="D41" s="1729"/>
      <c r="E41" s="2527">
        <v>1</v>
      </c>
      <c r="F41" s="1729"/>
      <c r="G41" s="1729"/>
      <c r="H41" s="1729"/>
      <c r="I41" s="1729"/>
      <c r="J41" s="1729"/>
      <c r="K41" s="1729"/>
      <c r="L41" s="1730"/>
      <c r="M41" s="1731"/>
      <c r="N41" s="1731"/>
      <c r="O41" s="1731"/>
      <c r="P41" s="722"/>
      <c r="Q41" s="721"/>
      <c r="R41" s="716"/>
      <c r="S41" s="1859">
        <f>INDEX(PT_DIFFERENTIATION_NUM_NTAR,MATCH(A41,PT_DIFFERENTIATION_NTAR_ID,0))</f>
        <v>0</v>
      </c>
      <c r="T41" s="659" t="s">
        <v>131</v>
      </c>
      <c r="U41" s="661"/>
      <c r="V41" s="2521"/>
      <c r="W41" s="2522"/>
      <c r="X41" s="2522"/>
      <c r="Y41" s="2522"/>
      <c r="Z41" s="2522"/>
      <c r="AA41" s="2522"/>
      <c r="AB41" s="2523"/>
      <c r="AC41" s="2521" t="str">
        <f>INDEX(PT_DIFFERENTIATION_NTAR,MATCH(A41,PT_DIFFERENTIATION_NTAR_ID,0))</f>
        <v/>
      </c>
      <c r="AD41" s="2522"/>
      <c r="AE41" s="2522"/>
      <c r="AF41" s="2522"/>
      <c r="AG41" s="2522"/>
      <c r="AH41" s="2522"/>
      <c r="AI41" s="2522"/>
      <c r="AJ41" s="2523"/>
      <c r="AK41"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861"/>
      <c r="AN41" s="861" t="str">
        <f>IF(T41="","",T41)</f>
        <v>Наименование тарифа</v>
      </c>
      <c r="AO41" s="861"/>
      <c r="AP41" s="861"/>
    </row>
    <row customHeight="1" ht="23.25">
      <c r="A42" s="1729" t="s">
        <v>312</v>
      </c>
      <c r="B42" s="1729" t="s">
        <v>313</v>
      </c>
      <c r="C42" s="1729"/>
      <c r="D42" s="1729"/>
      <c r="E42" s="2528"/>
      <c r="F42" s="2527">
        <v>1</v>
      </c>
      <c r="G42" s="1729"/>
      <c r="H42" s="1729"/>
      <c r="I42" s="1729"/>
      <c r="J42" s="1729"/>
      <c r="K42" s="1729"/>
      <c r="L42" s="1730"/>
      <c r="M42" s="1731"/>
      <c r="N42" s="1731"/>
      <c r="O42" s="1731"/>
      <c r="P42" s="1853"/>
      <c r="Q42" s="713"/>
      <c r="R42" s="714"/>
      <c r="S42" s="1859" t="str">
        <f>INDEX(PT_DIFFERENTIATION_NUM_TER,MATCH(B42,PT_DIFFERENTIATION_TER_ID,0))</f>
        <v>.</v>
      </c>
      <c r="T42" s="669" t="s">
        <v>438</v>
      </c>
      <c r="U42" s="661"/>
      <c r="V42" s="2521"/>
      <c r="W42" s="2522"/>
      <c r="X42" s="2522"/>
      <c r="Y42" s="2522"/>
      <c r="Z42" s="2522"/>
      <c r="AA42" s="2522"/>
      <c r="AB42" s="2523"/>
      <c r="AC42" s="2521" t="str">
        <f>INDEX(PT_DIFFERENTIATION_TER,MATCH(B42,PT_DIFFERENTIATION_TER_ID,0))</f>
        <v/>
      </c>
      <c r="AD42" s="2522"/>
      <c r="AE42" s="2522"/>
      <c r="AF42" s="2522"/>
      <c r="AG42" s="2522"/>
      <c r="AH42" s="2522"/>
      <c r="AI42" s="2522"/>
      <c r="AJ42" s="2523"/>
      <c r="AK42" s="1623" t="s">
        <v>439</v>
      </c>
      <c r="AM42" s="861"/>
      <c r="AN42" s="861" t="str">
        <f>IF(T42="","",T42)</f>
        <v>Территория действия тарифа</v>
      </c>
      <c r="AO42" s="861"/>
      <c r="AP42" s="861"/>
    </row>
    <row customHeight="1" ht="23.25">
      <c r="A43" s="1729" t="s">
        <v>312</v>
      </c>
      <c r="B43" s="1729" t="s">
        <v>313</v>
      </c>
      <c r="C43" s="1729" t="s">
        <v>314</v>
      </c>
      <c r="D43" s="1729"/>
      <c r="E43" s="2528"/>
      <c r="F43" s="2528"/>
      <c r="G43" s="2527">
        <v>1</v>
      </c>
      <c r="H43" s="1729"/>
      <c r="I43" s="1729"/>
      <c r="J43" s="1729"/>
      <c r="K43" s="1729"/>
      <c r="L43" s="1730"/>
      <c r="M43" s="1731"/>
      <c r="N43" s="1731"/>
      <c r="O43" s="1731"/>
      <c r="P43" s="715"/>
      <c r="Q43" s="713"/>
      <c r="R43" s="714"/>
      <c r="S43" s="1859" t="str">
        <f>INDEX(PT_DIFFERENTIATION_NUM_CS,MATCH(C43,PT_DIFFERENTIATION_CS_ID,0))</f>
        <v>..</v>
      </c>
      <c r="T43" s="670" t="s">
        <v>555</v>
      </c>
      <c r="U43" s="661"/>
      <c r="V43" s="2521"/>
      <c r="W43" s="2522"/>
      <c r="X43" s="2522"/>
      <c r="Y43" s="2522"/>
      <c r="Z43" s="2522"/>
      <c r="AA43" s="2522"/>
      <c r="AB43" s="2523"/>
      <c r="AC43" s="2521" t="str">
        <f>INDEX(PT_DIFFERENTIATION_CS,MATCH(C43,PT_DIFFERENTIATION_CS_ID,0))</f>
        <v/>
      </c>
      <c r="AD43" s="2522"/>
      <c r="AE43" s="2522"/>
      <c r="AF43" s="2522"/>
      <c r="AG43" s="2522"/>
      <c r="AH43" s="2522"/>
      <c r="AI43" s="2522"/>
      <c r="AJ43" s="2523"/>
      <c r="AK43" s="1623" t="s">
        <v>556</v>
      </c>
      <c r="AM43" s="861"/>
      <c r="AN43" s="861" t="str">
        <f>IF(T43="","",T43)</f>
        <v>Наименование централизованной системы водоотведения</v>
      </c>
      <c r="AO43" s="861"/>
      <c r="AP43" s="861"/>
    </row>
    <row customHeight="1" ht="23.25">
      <c r="A44" s="1729" t="s">
        <v>312</v>
      </c>
      <c r="B44" s="1729" t="s">
        <v>313</v>
      </c>
      <c r="C44" s="1729" t="s">
        <v>314</v>
      </c>
      <c r="D44" s="1729" t="s">
        <v>560</v>
      </c>
      <c r="E44" s="2528"/>
      <c r="F44" s="2528"/>
      <c r="G44" s="2528"/>
      <c r="H44" s="2528"/>
      <c r="I44" s="2529" t="str">
        <f>S43&amp;".1"</f>
        <v>...1</v>
      </c>
      <c r="J44" s="1729"/>
      <c r="K44" s="1729"/>
      <c r="L44" s="1730"/>
      <c r="P44" s="2531">
        <v>1</v>
      </c>
      <c r="Q44" s="1847"/>
      <c r="R44" s="717"/>
      <c r="S44" s="1859" t="str">
        <f>$I44</f>
        <v>...1</v>
      </c>
      <c r="T44" s="646" t="s">
        <v>522</v>
      </c>
      <c r="U44" s="661"/>
      <c r="V44" s="2614"/>
      <c r="W44" s="2615"/>
      <c r="X44" s="2615"/>
      <c r="Y44" s="2615"/>
      <c r="Z44" s="2615"/>
      <c r="AA44" s="2615"/>
      <c r="AB44" s="2616"/>
      <c r="AC44" s="2617"/>
      <c r="AD44" s="2618"/>
      <c r="AE44" s="2618"/>
      <c r="AF44" s="2618"/>
      <c r="AG44" s="2618"/>
      <c r="AH44" s="2618"/>
      <c r="AI44" s="2618"/>
      <c r="AJ44" s="2619"/>
      <c r="AK44" s="1623" t="s">
        <v>523</v>
      </c>
      <c r="AM44" s="861"/>
      <c r="AN44" s="861" t="str">
        <f>IF(T44="","",T44)</f>
        <v>Наименование признака дифференциации</v>
      </c>
      <c r="AO44" s="861"/>
      <c r="AP44" s="861"/>
    </row>
    <row customHeight="1" ht="23.25">
      <c r="A45" s="1729" t="s">
        <v>312</v>
      </c>
      <c r="B45" s="1729" t="s">
        <v>313</v>
      </c>
      <c r="C45" s="1729" t="s">
        <v>314</v>
      </c>
      <c r="D45" s="1729" t="s">
        <v>560</v>
      </c>
      <c r="E45" s="2528"/>
      <c r="F45" s="2528"/>
      <c r="G45" s="2528"/>
      <c r="H45" s="2528"/>
      <c r="I45" s="2530"/>
      <c r="J45" s="2529" t="str">
        <f>I44&amp;".1"</f>
        <v>...1.1</v>
      </c>
      <c r="K45" s="1729"/>
      <c r="L45" s="1730" t="s">
        <v>447</v>
      </c>
      <c r="P45" s="2531"/>
      <c r="Q45" s="2531">
        <v>1</v>
      </c>
      <c r="R45" s="718"/>
      <c r="S45" s="1859" t="str">
        <f>$J45</f>
        <v>...1.1</v>
      </c>
      <c r="T45" s="647" t="s">
        <v>448</v>
      </c>
      <c r="U45" s="661"/>
      <c r="V45" s="2515"/>
      <c r="W45" s="2516"/>
      <c r="X45" s="2516"/>
      <c r="Y45" s="2516"/>
      <c r="Z45" s="2516"/>
      <c r="AA45" s="2516"/>
      <c r="AB45" s="2517"/>
      <c r="AC45" s="2515"/>
      <c r="AD45" s="2516"/>
      <c r="AE45" s="2516"/>
      <c r="AF45" s="2516"/>
      <c r="AG45" s="2516"/>
      <c r="AH45" s="2516"/>
      <c r="AI45" s="2516"/>
      <c r="AJ45" s="2517"/>
      <c r="AK45" s="1673" t="s">
        <v>524</v>
      </c>
      <c r="AM45" s="861"/>
      <c r="AN45" s="861" t="str">
        <f>IF(T45="","",T45)</f>
        <v>Группа потребителей</v>
      </c>
      <c r="AO45" s="861"/>
      <c r="AP45" s="861"/>
    </row>
    <row customHeight="1" ht="23.25">
      <c r="A46" s="1729" t="s">
        <v>312</v>
      </c>
      <c r="B46" s="1729" t="s">
        <v>313</v>
      </c>
      <c r="C46" s="1729" t="s">
        <v>314</v>
      </c>
      <c r="D46" s="1729" t="s">
        <v>560</v>
      </c>
      <c r="E46" s="2528"/>
      <c r="F46" s="2528"/>
      <c r="G46" s="2528"/>
      <c r="H46" s="2528"/>
      <c r="I46" s="2530"/>
      <c r="J46" s="2530"/>
      <c r="K46" s="2529" t="str">
        <f>J45&amp;".1"</f>
        <v>...1.1.1</v>
      </c>
      <c r="L46" s="1730"/>
      <c r="P46" s="2531"/>
      <c r="Q46" s="2531"/>
      <c r="R46" s="718">
        <v>1</v>
      </c>
      <c r="S46" s="1859" t="str">
        <f>$K46</f>
        <v>...1.1.1</v>
      </c>
      <c r="T46" s="1803"/>
      <c r="U46" s="661"/>
      <c r="V46" s="1726"/>
      <c r="W46" s="1726"/>
      <c r="X46" s="1727"/>
      <c r="Y46" s="2525"/>
      <c r="Z46" s="2524" t="s">
        <v>66</v>
      </c>
      <c r="AA46" s="2525"/>
      <c r="AB46" s="2524" t="s">
        <v>66</v>
      </c>
      <c r="AC46" s="1112"/>
      <c r="AD46" s="1112"/>
      <c r="AE46" s="1622"/>
      <c r="AF46" s="2532"/>
      <c r="AG46" s="2402" t="s">
        <v>66</v>
      </c>
      <c r="AH46" s="2534"/>
      <c r="AI46" s="2402" t="s">
        <v>56</v>
      </c>
      <c r="AJ46" s="1804"/>
      <c r="AK46" s="26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72">
        <f>STRCHECKDATE(V47:AJ47)</f>
      </c>
      <c r="AM46" s="861"/>
      <c r="AN46" s="861" t="str">
        <f>IF(T46="","",T46)</f>
        <v/>
      </c>
      <c r="AO46" s="861"/>
      <c r="AP46" s="861"/>
    </row>
    <row customHeight="1" ht="0">
      <c r="A47" s="1729" t="s">
        <v>312</v>
      </c>
      <c r="B47" s="1729" t="s">
        <v>313</v>
      </c>
      <c r="C47" s="1729" t="s">
        <v>314</v>
      </c>
      <c r="D47" s="1729" t="s">
        <v>560</v>
      </c>
      <c r="E47" s="2528"/>
      <c r="F47" s="2528"/>
      <c r="G47" s="2528"/>
      <c r="H47" s="2528"/>
      <c r="I47" s="2530"/>
      <c r="J47" s="2530"/>
      <c r="K47" s="2529"/>
      <c r="L47" s="1730"/>
      <c r="P47" s="2531"/>
      <c r="Q47" s="2531"/>
      <c r="R47" s="718"/>
      <c r="S47" s="1856"/>
      <c r="T47" s="661"/>
      <c r="U47" s="661"/>
      <c r="V47" s="1726"/>
      <c r="W47" s="1726"/>
      <c r="X47" s="689" t="str">
        <f>Y46&amp;"-"&amp;AA46</f>
        <v>-</v>
      </c>
      <c r="Y47" s="2524"/>
      <c r="Z47" s="2524"/>
      <c r="AA47" s="2524"/>
      <c r="AB47" s="2524"/>
      <c r="AC47" s="686"/>
      <c r="AD47" s="686"/>
      <c r="AE47" s="689" t="str">
        <f>AF46&amp;"-"&amp;AH46</f>
        <v>-</v>
      </c>
      <c r="AF47" s="2533"/>
      <c r="AG47" s="2402"/>
      <c r="AH47" s="2535"/>
      <c r="AI47" s="2402"/>
      <c r="AJ47" s="1805"/>
      <c r="AK47" s="2620"/>
      <c r="AM47" s="861"/>
      <c r="AN47" s="861" t="str">
        <f>IF(T47="","",T47)</f>
        <v/>
      </c>
      <c r="AO47" s="861"/>
      <c r="AP47" s="861"/>
    </row>
    <row customHeight="1" ht="21">
      <c r="A48" s="1729" t="s">
        <v>312</v>
      </c>
      <c r="B48" s="1729" t="s">
        <v>313</v>
      </c>
      <c r="C48" s="1729" t="s">
        <v>314</v>
      </c>
      <c r="D48" s="1729" t="s">
        <v>560</v>
      </c>
      <c r="E48" s="2528"/>
      <c r="F48" s="2528"/>
      <c r="G48" s="2528"/>
      <c r="H48" s="2528"/>
      <c r="I48" s="2530"/>
      <c r="J48" s="2529"/>
      <c r="K48" s="1729"/>
      <c r="L48" s="1730"/>
      <c r="P48" s="2531"/>
      <c r="Q48" s="2531"/>
      <c r="R48" s="717"/>
      <c r="S48" s="1644"/>
      <c r="T48" s="648" t="s">
        <v>525</v>
      </c>
      <c r="U48" s="728"/>
      <c r="V48" s="728"/>
      <c r="W48" s="728"/>
      <c r="X48" s="728"/>
      <c r="Y48" s="728"/>
      <c r="Z48" s="728"/>
      <c r="AA48" s="728"/>
      <c r="AB48" s="728"/>
      <c r="AC48" s="728"/>
      <c r="AD48" s="728"/>
      <c r="AE48" s="728"/>
      <c r="AF48" s="728"/>
      <c r="AG48" s="728"/>
      <c r="AH48" s="728"/>
      <c r="AI48" s="728"/>
      <c r="AJ48" s="728"/>
      <c r="AK48" s="1623" t="s">
        <v>526</v>
      </c>
      <c r="AM48" s="861"/>
      <c r="AN48" s="861" t="str">
        <f>IF(T48="","",T48)</f>
        <v>Добавить значение признака дифференциации</v>
      </c>
      <c r="AO48" s="861"/>
      <c r="AP48" s="861"/>
    </row>
    <row customHeight="1" ht="21">
      <c r="A49" s="1729" t="s">
        <v>312</v>
      </c>
      <c r="B49" s="1729" t="s">
        <v>313</v>
      </c>
      <c r="C49" s="1729" t="s">
        <v>314</v>
      </c>
      <c r="D49" s="1729" t="s">
        <v>560</v>
      </c>
      <c r="E49" s="2528"/>
      <c r="F49" s="2528"/>
      <c r="G49" s="2528"/>
      <c r="H49" s="2528"/>
      <c r="I49" s="2529"/>
      <c r="J49" s="1729"/>
      <c r="K49" s="1729"/>
      <c r="L49" s="1730"/>
      <c r="P49" s="2531"/>
      <c r="Q49" s="1847"/>
      <c r="R49" s="717"/>
      <c r="S49" s="1644"/>
      <c r="T49" s="726" t="s">
        <v>453</v>
      </c>
      <c r="U49" s="728"/>
      <c r="V49" s="728"/>
      <c r="W49" s="728"/>
      <c r="X49" s="728"/>
      <c r="Y49" s="728"/>
      <c r="Z49" s="728"/>
      <c r="AA49" s="728"/>
      <c r="AB49" s="727"/>
      <c r="AC49" s="728"/>
      <c r="AD49" s="728"/>
      <c r="AE49" s="728"/>
      <c r="AF49" s="728"/>
      <c r="AG49" s="728"/>
      <c r="AH49" s="728"/>
      <c r="AI49" s="727"/>
      <c r="AJ49" s="728"/>
      <c r="AK49" s="1806"/>
      <c r="AM49" s="861"/>
      <c r="AN49" s="861" t="str">
        <f>IF(T49="","",T49)</f>
        <v>Добавить группу потребителей</v>
      </c>
      <c r="AO49" s="861"/>
      <c r="AP49" s="861"/>
    </row>
    <row customHeight="1" ht="21">
      <c r="A50" s="1729" t="s">
        <v>312</v>
      </c>
      <c r="B50" s="1729" t="s">
        <v>313</v>
      </c>
      <c r="C50" s="1729" t="s">
        <v>314</v>
      </c>
      <c r="D50" s="1729" t="s">
        <v>560</v>
      </c>
      <c r="E50" s="2528"/>
      <c r="F50" s="2528"/>
      <c r="G50" s="2528"/>
      <c r="H50" s="2527"/>
      <c r="I50" s="1729"/>
      <c r="J50" s="1729"/>
      <c r="K50" s="1729"/>
      <c r="L50" s="1730"/>
      <c r="M50" s="1731"/>
      <c r="N50" s="1731"/>
      <c r="O50" s="898"/>
      <c r="P50" s="721"/>
      <c r="Q50" s="736"/>
      <c r="R50" s="716"/>
      <c r="S50" s="1644"/>
      <c r="T50" s="733" t="s">
        <v>527</v>
      </c>
      <c r="U50" s="728"/>
      <c r="V50" s="728"/>
      <c r="W50" s="728"/>
      <c r="X50" s="728"/>
      <c r="Y50" s="728"/>
      <c r="Z50" s="728"/>
      <c r="AA50" s="728"/>
      <c r="AB50" s="727"/>
      <c r="AC50" s="728"/>
      <c r="AD50" s="728"/>
      <c r="AE50" s="728"/>
      <c r="AF50" s="728"/>
      <c r="AG50" s="728"/>
      <c r="AH50" s="728"/>
      <c r="AI50" s="727"/>
      <c r="AJ50" s="728"/>
      <c r="AK50" s="664"/>
      <c r="AM50" s="861"/>
      <c r="AN50" s="861" t="str">
        <f>IF(T50="","",T50)</f>
        <v>Добавить наименование признака дифференциации</v>
      </c>
      <c r="AO50" s="861"/>
      <c r="AP50" s="861"/>
    </row>
    <row s="32198" customFormat="1" customHeight="1" ht="0">
      <c r="A51" s="1709" t="s">
        <v>312</v>
      </c>
      <c r="B51" s="1709" t="s">
        <v>313</v>
      </c>
      <c r="C51" s="1680"/>
      <c r="D51" s="1680"/>
      <c r="E51" s="2528"/>
      <c r="F51" s="2527"/>
      <c r="G51" s="1680"/>
      <c r="H51" s="1680"/>
      <c r="I51" s="1680"/>
      <c r="J51" s="1680"/>
      <c r="K51" s="1680"/>
      <c r="L51" s="1860"/>
      <c r="M51" s="1687"/>
      <c r="N51" s="1687"/>
      <c r="P51" s="1682"/>
      <c r="Q51" s="1683"/>
      <c r="R51" s="1682"/>
      <c r="S51" s="1688"/>
      <c r="T51" s="1691" t="s">
        <v>262</v>
      </c>
      <c r="U51" s="1690"/>
      <c r="V51" s="1690"/>
      <c r="W51" s="1690"/>
      <c r="X51" s="1690"/>
      <c r="Y51" s="1690"/>
      <c r="Z51" s="1690"/>
      <c r="AA51" s="1690"/>
      <c r="AB51" s="1690"/>
      <c r="AC51" s="1690"/>
      <c r="AD51" s="1690"/>
      <c r="AE51" s="1690"/>
      <c r="AF51" s="1690"/>
      <c r="AG51" s="1690"/>
      <c r="AH51" s="1690"/>
      <c r="AI51" s="1690"/>
      <c r="AJ51" s="1690"/>
      <c r="AK51" s="1690"/>
      <c r="AM51" s="1150"/>
      <c r="AN51" s="1150" t="str">
        <f>IF(T51="","",T51)</f>
        <v>Добавить централизованную систему для дифференциации</v>
      </c>
      <c r="AO51" s="1150"/>
      <c r="AP51" s="1150"/>
    </row>
    <row s="32289" customFormat="1" customHeight="1" ht="0">
      <c r="A52" s="1709" t="s">
        <v>312</v>
      </c>
      <c r="B52" s="1709"/>
      <c r="C52" s="1709"/>
      <c r="D52" s="1709"/>
      <c r="E52" s="2527"/>
      <c r="F52" s="1709"/>
      <c r="G52" s="1709"/>
      <c r="H52" s="1709"/>
      <c r="I52" s="1709"/>
      <c r="J52" s="1709"/>
      <c r="K52" s="1709"/>
      <c r="L52" s="1712"/>
      <c r="M52" s="1687"/>
      <c r="N52" s="1687"/>
      <c r="O52" s="879"/>
      <c r="P52" s="741"/>
      <c r="Q52" s="1710"/>
      <c r="R52" s="741"/>
      <c r="S52" s="1688"/>
      <c r="T52" s="1691" t="s">
        <v>270</v>
      </c>
      <c r="U52" s="1690"/>
      <c r="V52" s="1690"/>
      <c r="W52" s="1690"/>
      <c r="X52" s="1690"/>
      <c r="Y52" s="1690"/>
      <c r="Z52" s="1690"/>
      <c r="AA52" s="1690"/>
      <c r="AB52" s="1690"/>
      <c r="AC52" s="1690"/>
      <c r="AD52" s="1690"/>
      <c r="AE52" s="1690"/>
      <c r="AF52" s="1690"/>
      <c r="AG52" s="1690"/>
      <c r="AH52" s="1690"/>
      <c r="AI52" s="1690"/>
      <c r="AJ52" s="1690"/>
      <c r="AK52" s="1690"/>
      <c r="AM52" s="861"/>
      <c r="AN52" s="861" t="str">
        <f>IF(T52="","",T52)</f>
        <v>Добавить территорию для дифференциации</v>
      </c>
      <c r="AO52" s="861"/>
      <c r="AP52" s="861"/>
    </row>
    <row s="32198" customFormat="1" customHeight="1" ht="0">
      <c r="A53" s="1680"/>
      <c r="B53" s="1680"/>
      <c r="C53" s="1680"/>
      <c r="D53" s="1680"/>
      <c r="E53" s="1709"/>
      <c r="F53" s="1680"/>
      <c r="G53" s="1680"/>
      <c r="H53" s="1680"/>
      <c r="I53" s="1680"/>
      <c r="J53" s="1680"/>
      <c r="K53" s="1680"/>
      <c r="L53" s="1860"/>
      <c r="M53" s="1687"/>
      <c r="N53" s="1687"/>
      <c r="P53" s="1682"/>
      <c r="Q53" s="1683"/>
      <c r="R53" s="1682"/>
      <c r="S53" s="1688"/>
      <c r="T53" s="1691" t="s">
        <v>294</v>
      </c>
      <c r="U53" s="1690"/>
      <c r="V53" s="1690"/>
      <c r="W53" s="1690"/>
      <c r="X53" s="1690"/>
      <c r="Y53" s="1690"/>
      <c r="Z53" s="1690"/>
      <c r="AA53" s="1690"/>
      <c r="AB53" s="1690"/>
      <c r="AC53" s="1690"/>
      <c r="AD53" s="1690"/>
      <c r="AE53" s="1690"/>
      <c r="AF53" s="1690"/>
      <c r="AG53" s="1690"/>
      <c r="AH53" s="1690"/>
      <c r="AI53" s="1690"/>
      <c r="AJ53" s="1690"/>
      <c r="AK53" s="1690"/>
      <c r="AM53" s="1150"/>
      <c r="AN53" s="1150" t="str">
        <f>IF(T53="","",T53)</f>
        <v>Добавить наименование тарифа</v>
      </c>
      <c r="AO53" s="1150"/>
      <c r="AP53" s="1150"/>
    </row>
    <row customHeight="1" ht="11.25">
      <c r="M54" s="1523"/>
      <c r="N54" s="1523"/>
      <c r="O54" s="898"/>
      <c r="P54" s="1518"/>
      <c r="Q54" s="1518"/>
      <c r="R54" s="1518"/>
      <c r="S54" s="1518"/>
      <c r="AL54" s="1518"/>
      <c r="AM54" s="1518"/>
      <c r="AN54" s="1518"/>
      <c r="AO54" s="1518"/>
      <c r="AP54" s="1518"/>
    </row>
    <row customHeight="1" ht="14.25">
      <c r="O55" s="898"/>
      <c r="S55" s="1618"/>
      <c r="T55" s="2526"/>
      <c r="U55" s="2526"/>
      <c r="V55" s="2526"/>
      <c r="W55" s="2526"/>
      <c r="X55" s="2526"/>
      <c r="Y55" s="2526"/>
      <c r="Z55" s="2526"/>
      <c r="AA55" s="2526"/>
      <c r="AB55" s="2526"/>
      <c r="AC55" s="2526"/>
      <c r="AD55" s="2526"/>
      <c r="AE55" s="2526"/>
      <c r="AF55" s="2526"/>
      <c r="AG55" s="2526"/>
      <c r="AH55" s="2526"/>
      <c r="AI55" s="2526"/>
      <c r="AJ55" s="2526"/>
      <c r="AK55" s="2526"/>
    </row>
    <row customHeight="1" ht="14.25">
      <c r="O56" s="898"/>
    </row>
    <row customHeight="1" ht="14.25">
      <c r="O57" s="898"/>
      <c r="S57" s="1618"/>
      <c r="T57" s="2526"/>
      <c r="U57" s="2526"/>
      <c r="V57" s="2526"/>
      <c r="W57" s="2526"/>
      <c r="X57" s="2526"/>
      <c r="Y57" s="2526"/>
      <c r="Z57" s="2526"/>
      <c r="AA57" s="2526"/>
      <c r="AB57" s="2526"/>
      <c r="AC57" s="2526"/>
      <c r="AD57" s="2526"/>
      <c r="AE57" s="2526"/>
      <c r="AF57" s="2526"/>
      <c r="AG57" s="2526"/>
      <c r="AH57" s="2526"/>
      <c r="AI57" s="2526"/>
      <c r="AJ57" s="2526"/>
      <c r="AK57" s="252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84B842-1661-67C8-7E7D-371E8316A2F8}"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217" width="11.57421875" hidden="1" customWidth="1"/>
    <col min="2" max="2" style="32217" width="11.00390625" hidden="1" customWidth="1"/>
    <col min="3" max="3" style="32217" width="10.57421875" hidden="1"/>
    <col min="4" max="4" style="32217" width="12.8515625" hidden="1" customWidth="1"/>
    <col min="5" max="5" style="32217" width="10.00390625" hidden="1" customWidth="1"/>
    <col min="6" max="6" style="32217" width="8.7109375" hidden="1" customWidth="1"/>
    <col min="7" max="7" style="32217" width="7.57421875" hidden="1" customWidth="1"/>
    <col min="8" max="8" style="32217" width="11.421875" hidden="1" customWidth="1"/>
    <col min="9" max="9" style="32217" width="12.00390625" hidden="1" customWidth="1"/>
    <col min="10" max="10" style="32217" width="9.8515625" hidden="1" customWidth="1"/>
    <col min="11" max="11" style="32217" width="11.421875" hidden="1" customWidth="1"/>
    <col min="12" max="12" style="32566" width="19.140625" hidden="1" customWidth="1"/>
    <col min="13" max="14" style="32298" width="12.28125" hidden="1" customWidth="1"/>
    <col min="15" max="15" style="32298" width="23.421875" hidden="1" customWidth="1"/>
    <col min="16" max="16" style="32298" width="3.7109375" hidden="1" customWidth="1"/>
    <col min="17" max="17" style="32470" width="3.7109375" hidden="1" customWidth="1"/>
    <col min="18" max="18" style="32300" width="3.7109375" customWidth="1"/>
    <col min="19" max="19" style="32301" width="12.7109375" customWidth="1"/>
    <col min="20" max="20" style="32302" width="32.00390625" customWidth="1"/>
    <col min="21" max="21" style="32302" width="0.140625" customWidth="1"/>
    <col min="22" max="25" style="32302" width="21.7109375" hidden="1" customWidth="1"/>
    <col min="26" max="26" style="32302" width="11.7109375" hidden="1" customWidth="1"/>
    <col min="27" max="27" style="32302" width="3.7109375" hidden="1" customWidth="1"/>
    <col min="28" max="28" style="32302" width="11.7109375" hidden="1" customWidth="1"/>
    <col min="29" max="29" style="32302" width="8.57421875" hidden="1" customWidth="1"/>
    <col min="30" max="32" style="32302" width="3.7109375" customWidth="1"/>
    <col min="33" max="33" style="32302" width="24.7109375" customWidth="1"/>
    <col min="34" max="36" style="32302" width="3.7109375" customWidth="1"/>
    <col min="37" max="37" style="32302" width="24.7109375" customWidth="1"/>
    <col min="38" max="40" style="32302" width="3.7109375" customWidth="1"/>
    <col min="41" max="41" style="32302" width="18.8515625" customWidth="1"/>
    <col min="42" max="44" style="32302" width="3.7109375" customWidth="1"/>
    <col min="45" max="45" style="32302" width="18.8515625" customWidth="1"/>
    <col min="46" max="49" style="32302" width="21.7109375" customWidth="1"/>
    <col min="50" max="50" style="32302" width="11.7109375" customWidth="1"/>
    <col min="51" max="51" style="32302" width="3.7109375" customWidth="1"/>
    <col min="52" max="52" style="32302" width="11.7109375" customWidth="1"/>
    <col min="53" max="53" style="32302" width="8.57421875" hidden="1" customWidth="1"/>
    <col min="54" max="54" style="32302" width="4.7109375" customWidth="1"/>
    <col min="55" max="55" style="32302" width="115.7109375" customWidth="1"/>
    <col min="56" max="57" style="32289" width="10.57421875"/>
    <col min="58" max="58" style="32289" width="11.140625" customWidth="1"/>
    <col min="59" max="60" style="32289" width="10.57421875"/>
  </cols>
  <sheetData>
    <row customHeight="1" ht="14.25" hidden="1">
      <c r="W1" s="688"/>
      <c r="Y1" s="688"/>
      <c r="Z1" s="688"/>
      <c r="AW1" s="688"/>
      <c r="AX1" s="688"/>
    </row>
    <row customHeight="1" ht="21" hidden="1">
      <c r="A2" s="1729"/>
      <c r="B2" s="1729"/>
      <c r="C2" s="1729"/>
      <c r="D2" s="1729"/>
      <c r="E2" s="2527">
        <v>1</v>
      </c>
      <c r="F2" s="1729"/>
      <c r="G2" s="1729"/>
      <c r="H2" s="1729"/>
      <c r="I2" s="1729"/>
      <c r="J2" s="1729"/>
      <c r="K2" s="1729"/>
      <c r="L2" s="1730"/>
      <c r="M2" s="1731"/>
      <c r="N2" s="1731"/>
      <c r="O2" s="1731"/>
      <c r="P2" s="1775"/>
      <c r="Q2" s="1234"/>
      <c r="R2" s="716"/>
      <c r="S2" s="1859">
        <f>INDEX(PT_DIFFERENTIATION_NUM_NTAR,MATCH(A2,PT_DIFFERENTIATION_NTAR_ID,0))</f>
      </c>
      <c r="T2" s="659" t="s">
        <v>131</v>
      </c>
      <c r="U2" s="661"/>
      <c r="V2" s="2522"/>
      <c r="W2" s="2522"/>
      <c r="X2" s="2522"/>
      <c r="Y2" s="2522"/>
      <c r="Z2" s="2522"/>
      <c r="AA2" s="2522"/>
      <c r="AB2" s="2522"/>
      <c r="AC2" s="2523"/>
      <c r="AD2" s="2521">
        <f>INDEX(PT_DIFFERENTIATION_NTAR,MATCH(A2,PT_DIFFERENTIATION_NTAR_ID,0))</f>
      </c>
      <c r="AE2" s="2522"/>
      <c r="AF2" s="2522"/>
      <c r="AG2" s="2522"/>
      <c r="AH2" s="2522"/>
      <c r="AI2" s="2522"/>
      <c r="AJ2" s="2522"/>
      <c r="AK2" s="2522"/>
      <c r="AL2" s="2522"/>
      <c r="AM2" s="2522"/>
      <c r="AN2" s="2522"/>
      <c r="AO2" s="2522"/>
      <c r="AP2" s="2522"/>
      <c r="AQ2" s="2522"/>
      <c r="AR2" s="2522"/>
      <c r="AS2" s="2522"/>
      <c r="AT2" s="2522"/>
      <c r="AU2" s="2522"/>
      <c r="AV2" s="2522"/>
      <c r="AW2" s="2522"/>
      <c r="AX2" s="2522"/>
      <c r="AY2" s="2522"/>
      <c r="AZ2" s="2522"/>
      <c r="BA2" s="2522"/>
      <c r="BB2" s="2523"/>
      <c r="BC2"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861"/>
      <c r="BF2" s="861" t="str">
        <f>IF(T2="","",T2)</f>
        <v>Наименование тарифа</v>
      </c>
      <c r="BG2" s="861"/>
      <c r="BH2" s="861"/>
    </row>
    <row customHeight="1" ht="21" hidden="1">
      <c r="A3" s="1729"/>
      <c r="B3" s="1729"/>
      <c r="C3" s="1729"/>
      <c r="D3" s="1729"/>
      <c r="E3" s="2528"/>
      <c r="F3" s="2527">
        <v>1</v>
      </c>
      <c r="G3" s="1729"/>
      <c r="H3" s="1729"/>
      <c r="I3" s="1729"/>
      <c r="J3" s="1729"/>
      <c r="K3" s="1729"/>
      <c r="L3" s="1730"/>
      <c r="M3" s="1731"/>
      <c r="N3" s="1731"/>
      <c r="O3" s="1731"/>
      <c r="P3" s="1776"/>
      <c r="Q3" s="1777"/>
      <c r="R3" s="714"/>
      <c r="S3" s="1859">
        <f>INDEX(PT_DIFFERENTIATION_NUM_TER,MATCH(B3,PT_DIFFERENTIATION_TER_ID,0))</f>
      </c>
      <c r="T3" s="669" t="s">
        <v>438</v>
      </c>
      <c r="U3" s="661"/>
      <c r="V3" s="2522"/>
      <c r="W3" s="2522"/>
      <c r="X3" s="2522"/>
      <c r="Y3" s="2522"/>
      <c r="Z3" s="2522"/>
      <c r="AA3" s="2522"/>
      <c r="AB3" s="2522"/>
      <c r="AC3" s="2523"/>
      <c r="AD3" s="2521">
        <f>INDEX(PT_DIFFERENTIATION_TER,MATCH(B3,PT_DIFFERENTIATION_TER_ID,0))</f>
      </c>
      <c r="AE3" s="2522"/>
      <c r="AF3" s="2522"/>
      <c r="AG3" s="2522"/>
      <c r="AH3" s="2522"/>
      <c r="AI3" s="2522"/>
      <c r="AJ3" s="2522"/>
      <c r="AK3" s="2522"/>
      <c r="AL3" s="2522"/>
      <c r="AM3" s="2522"/>
      <c r="AN3" s="2522"/>
      <c r="AO3" s="2522"/>
      <c r="AP3" s="2522"/>
      <c r="AQ3" s="2522"/>
      <c r="AR3" s="2522"/>
      <c r="AS3" s="2522"/>
      <c r="AT3" s="2522"/>
      <c r="AU3" s="2522"/>
      <c r="AV3" s="2522"/>
      <c r="AW3" s="2522"/>
      <c r="AX3" s="2522"/>
      <c r="AY3" s="2522"/>
      <c r="AZ3" s="2522"/>
      <c r="BA3" s="2522"/>
      <c r="BB3" s="2523"/>
      <c r="BC3" s="1623" t="s">
        <v>439</v>
      </c>
      <c r="BE3" s="861"/>
      <c r="BF3" s="861" t="str">
        <f>IF(T3="","",T3)</f>
        <v>Территория действия тарифа</v>
      </c>
      <c r="BG3" s="861"/>
      <c r="BH3" s="861"/>
    </row>
    <row customHeight="1" ht="33.75" hidden="1">
      <c r="A4" s="1729"/>
      <c r="B4" s="1729"/>
      <c r="C4" s="1729"/>
      <c r="D4" s="1729"/>
      <c r="E4" s="2528"/>
      <c r="F4" s="2528"/>
      <c r="G4" s="2527">
        <v>1</v>
      </c>
      <c r="H4" s="1729"/>
      <c r="I4" s="1729"/>
      <c r="J4" s="1729"/>
      <c r="K4" s="1729"/>
      <c r="L4" s="1730"/>
      <c r="M4" s="1731"/>
      <c r="N4" s="1731"/>
      <c r="O4" s="1731"/>
      <c r="P4" s="1778"/>
      <c r="Q4" s="1777"/>
      <c r="R4" s="714"/>
      <c r="S4" s="1859">
        <f>INDEX(PT_DIFFERENTIATION_NUM_CS,MATCH(C4,PT_DIFFERENTIATION_CS_ID,0))</f>
      </c>
      <c r="T4" s="670" t="s">
        <v>555</v>
      </c>
      <c r="U4" s="661"/>
      <c r="V4" s="2522"/>
      <c r="W4" s="2522"/>
      <c r="X4" s="2522"/>
      <c r="Y4" s="2522"/>
      <c r="Z4" s="2522"/>
      <c r="AA4" s="2522"/>
      <c r="AB4" s="2522"/>
      <c r="AC4" s="2523"/>
      <c r="AD4" s="2521">
        <f>INDEX(PT_DIFFERENTIATION_CS,MATCH(C4,PT_DIFFERENTIATION_CS_ID,0))</f>
      </c>
      <c r="AE4" s="2522"/>
      <c r="AF4" s="2522"/>
      <c r="AG4" s="2522"/>
      <c r="AH4" s="2522"/>
      <c r="AI4" s="2522"/>
      <c r="AJ4" s="2522"/>
      <c r="AK4" s="2522"/>
      <c r="AL4" s="2522"/>
      <c r="AM4" s="2522"/>
      <c r="AN4" s="2522"/>
      <c r="AO4" s="2522"/>
      <c r="AP4" s="2522"/>
      <c r="AQ4" s="2522"/>
      <c r="AR4" s="2522"/>
      <c r="AS4" s="2522"/>
      <c r="AT4" s="2522"/>
      <c r="AU4" s="2522"/>
      <c r="AV4" s="2522"/>
      <c r="AW4" s="2522"/>
      <c r="AX4" s="2522"/>
      <c r="AY4" s="2522"/>
      <c r="AZ4" s="2522"/>
      <c r="BA4" s="2522"/>
      <c r="BB4" s="2523"/>
      <c r="BC4" s="1623" t="s">
        <v>556</v>
      </c>
      <c r="BE4" s="861"/>
      <c r="BF4" s="861" t="str">
        <f>IF(T4="","",T4)</f>
        <v>Наименование централизованной системы водоотведения</v>
      </c>
      <c r="BG4" s="861"/>
      <c r="BH4" s="861"/>
    </row>
    <row s="32289" customFormat="1" customHeight="1" ht="14.25" hidden="1">
      <c r="A5" s="1709"/>
      <c r="B5" s="1709"/>
      <c r="C5" s="1709"/>
      <c r="D5" s="1709"/>
      <c r="E5" s="2528"/>
      <c r="F5" s="2528"/>
      <c r="G5" s="2528"/>
      <c r="H5" s="2527">
        <v>1</v>
      </c>
      <c r="I5" s="1709"/>
      <c r="J5" s="1709"/>
      <c r="K5" s="1709"/>
      <c r="L5" s="1712"/>
      <c r="M5" s="1681"/>
      <c r="N5" s="1681"/>
      <c r="O5" s="1681"/>
      <c r="P5" s="1863"/>
      <c r="Q5" s="1864"/>
      <c r="R5" s="718"/>
      <c r="S5" s="1404"/>
      <c r="T5" s="1865"/>
      <c r="U5" s="1750"/>
      <c r="V5" s="2570"/>
      <c r="W5" s="2570"/>
      <c r="X5" s="2570"/>
      <c r="Y5" s="2570"/>
      <c r="Z5" s="2570"/>
      <c r="AA5" s="2570"/>
      <c r="AB5" s="2570"/>
      <c r="AC5" s="2571"/>
      <c r="AD5" s="2569"/>
      <c r="AE5" s="2570"/>
      <c r="AF5" s="2570"/>
      <c r="AG5" s="2570"/>
      <c r="AH5" s="2570"/>
      <c r="AI5" s="2570"/>
      <c r="AJ5" s="2570"/>
      <c r="AK5" s="2570"/>
      <c r="AL5" s="2570"/>
      <c r="AM5" s="2570"/>
      <c r="AN5" s="2570"/>
      <c r="AO5" s="2570"/>
      <c r="AP5" s="2570"/>
      <c r="AQ5" s="2570"/>
      <c r="AR5" s="2570"/>
      <c r="AS5" s="2570"/>
      <c r="AT5" s="2570"/>
      <c r="AU5" s="2570"/>
      <c r="AV5" s="2570"/>
      <c r="AW5" s="2570"/>
      <c r="AX5" s="2570"/>
      <c r="AY5" s="2570"/>
      <c r="AZ5" s="2570"/>
      <c r="BA5" s="2570"/>
      <c r="BB5" s="2571"/>
      <c r="BC5" s="1751" t="s">
        <v>443</v>
      </c>
      <c r="BE5" s="861"/>
      <c r="BF5" s="861" t="str">
        <f>IF(T5="","",T5)</f>
        <v/>
      </c>
      <c r="BG5" s="861"/>
      <c r="BH5" s="861"/>
    </row>
    <row s="32289" customFormat="1" customHeight="1" ht="14.25" hidden="1">
      <c r="A6" s="1709"/>
      <c r="B6" s="1709"/>
      <c r="C6" s="1709"/>
      <c r="D6" s="1709"/>
      <c r="E6" s="2528"/>
      <c r="F6" s="2528"/>
      <c r="G6" s="2528"/>
      <c r="H6" s="2528"/>
      <c r="I6" s="2529" t="str">
        <f>S5&amp;".1"</f>
        <v>.1</v>
      </c>
      <c r="J6" s="1709"/>
      <c r="K6" s="1709"/>
      <c r="L6" s="1712" t="s">
        <v>444</v>
      </c>
      <c r="M6" s="871"/>
      <c r="N6" s="871"/>
      <c r="O6" s="871"/>
      <c r="P6" s="2531">
        <v>1</v>
      </c>
      <c r="Q6" s="1847"/>
      <c r="R6" s="717"/>
      <c r="S6" s="1404"/>
      <c r="T6" s="1749"/>
      <c r="U6" s="1750"/>
      <c r="V6" s="2570"/>
      <c r="W6" s="2570"/>
      <c r="X6" s="2570"/>
      <c r="Y6" s="2570"/>
      <c r="Z6" s="2570"/>
      <c r="AA6" s="2570"/>
      <c r="AB6" s="2570"/>
      <c r="AC6" s="2571"/>
      <c r="AD6" s="2569"/>
      <c r="AE6" s="2570"/>
      <c r="AF6" s="2570"/>
      <c r="AG6" s="2570"/>
      <c r="AH6" s="2570"/>
      <c r="AI6" s="2570"/>
      <c r="AJ6" s="2570"/>
      <c r="AK6" s="2570"/>
      <c r="AL6" s="2570"/>
      <c r="AM6" s="2570"/>
      <c r="AN6" s="2570"/>
      <c r="AO6" s="2570"/>
      <c r="AP6" s="2570"/>
      <c r="AQ6" s="2570"/>
      <c r="AR6" s="2570"/>
      <c r="AS6" s="2570"/>
      <c r="AT6" s="2570"/>
      <c r="AU6" s="2570"/>
      <c r="AV6" s="2570"/>
      <c r="AW6" s="2570"/>
      <c r="AX6" s="2570"/>
      <c r="AY6" s="2570"/>
      <c r="AZ6" s="2570"/>
      <c r="BA6" s="2570"/>
      <c r="BB6" s="2571"/>
      <c r="BC6" s="1751"/>
      <c r="BE6" s="861"/>
      <c r="BF6" s="861" t="str">
        <f>IF(T6="","",T6)</f>
        <v/>
      </c>
      <c r="BG6" s="861"/>
      <c r="BH6" s="861"/>
    </row>
    <row s="32289" customFormat="1" customHeight="1" ht="14.25" hidden="1">
      <c r="A7" s="1709"/>
      <c r="B7" s="1709"/>
      <c r="C7" s="1709"/>
      <c r="D7" s="1709"/>
      <c r="E7" s="2528"/>
      <c r="F7" s="2528"/>
      <c r="G7" s="2528"/>
      <c r="H7" s="2528"/>
      <c r="I7" s="2530"/>
      <c r="J7" s="2529" t="str">
        <f>S5&amp;".1"</f>
        <v>.1</v>
      </c>
      <c r="K7" s="1709"/>
      <c r="L7" s="1712"/>
      <c r="M7" s="871"/>
      <c r="N7" s="871"/>
      <c r="O7" s="871"/>
      <c r="P7" s="2531"/>
      <c r="Q7" s="2531">
        <v>1</v>
      </c>
      <c r="R7" s="718"/>
      <c r="S7" s="1404"/>
      <c r="T7" s="1765"/>
      <c r="U7" s="1750"/>
      <c r="V7" s="2570"/>
      <c r="W7" s="2570"/>
      <c r="X7" s="2570"/>
      <c r="Y7" s="2570"/>
      <c r="Z7" s="2570"/>
      <c r="AA7" s="2570"/>
      <c r="AB7" s="2570"/>
      <c r="AC7" s="2571"/>
      <c r="AD7" s="2569"/>
      <c r="AE7" s="2570"/>
      <c r="AF7" s="2570"/>
      <c r="AG7" s="2570"/>
      <c r="AH7" s="2570"/>
      <c r="AI7" s="2570"/>
      <c r="AJ7" s="2570"/>
      <c r="AK7" s="2570"/>
      <c r="AL7" s="2570"/>
      <c r="AM7" s="2570"/>
      <c r="AN7" s="2570"/>
      <c r="AO7" s="2570"/>
      <c r="AP7" s="2570"/>
      <c r="AQ7" s="2570"/>
      <c r="AR7" s="2570"/>
      <c r="AS7" s="2570"/>
      <c r="AT7" s="2570"/>
      <c r="AU7" s="2570"/>
      <c r="AV7" s="2570"/>
      <c r="AW7" s="2570"/>
      <c r="AX7" s="2570"/>
      <c r="AY7" s="2570"/>
      <c r="AZ7" s="2570"/>
      <c r="BA7" s="2570"/>
      <c r="BB7" s="2571"/>
      <c r="BC7" s="1751"/>
      <c r="BE7" s="861"/>
      <c r="BF7" s="861" t="str">
        <f>IF(T7="","",T7)</f>
        <v/>
      </c>
      <c r="BG7" s="861"/>
      <c r="BH7" s="861"/>
    </row>
    <row customHeight="1" ht="11.25" hidden="1">
      <c r="A8" s="1729"/>
      <c r="B8" s="1729"/>
      <c r="C8" s="1729"/>
      <c r="D8" s="1729"/>
      <c r="E8" s="2528"/>
      <c r="F8" s="2528"/>
      <c r="G8" s="2528"/>
      <c r="H8" s="2528"/>
      <c r="I8" s="2530"/>
      <c r="J8" s="2530"/>
      <c r="K8" s="2529">
        <f>S4&amp;".1"</f>
      </c>
      <c r="L8" s="1730"/>
      <c r="P8" s="2531"/>
      <c r="Q8" s="2531"/>
      <c r="R8" s="2607">
        <v>1</v>
      </c>
      <c r="S8" s="2604">
        <f>$K8</f>
      </c>
      <c r="T8" s="2624"/>
      <c r="U8" s="661"/>
      <c r="V8" s="1112"/>
      <c r="W8" s="1622"/>
      <c r="X8" s="1112"/>
      <c r="Y8" s="1622"/>
      <c r="Z8" s="2100"/>
      <c r="AA8" s="1835" t="s">
        <v>66</v>
      </c>
      <c r="AB8" s="2100"/>
      <c r="AC8" s="1835" t="s">
        <v>66</v>
      </c>
      <c r="AD8" s="2465" t="s">
        <v>66</v>
      </c>
      <c r="AE8" s="2600"/>
      <c r="AF8" s="2478">
        <v>1</v>
      </c>
      <c r="AG8" s="2623"/>
      <c r="AH8" s="2402" t="s">
        <v>66</v>
      </c>
      <c r="AI8" s="2600"/>
      <c r="AJ8" s="2478">
        <v>1</v>
      </c>
      <c r="AK8" s="2622" t="s">
        <v>24</v>
      </c>
      <c r="AL8" s="2402" t="s">
        <v>66</v>
      </c>
      <c r="AM8" s="2450"/>
      <c r="AN8" s="2478">
        <v>1</v>
      </c>
      <c r="AO8" s="2627"/>
      <c r="AP8" s="2628" t="s">
        <v>66</v>
      </c>
      <c r="AQ8" s="672"/>
      <c r="AR8" s="1852">
        <v>1</v>
      </c>
      <c r="AS8" s="1858" t="s">
        <v>24</v>
      </c>
      <c r="AT8" s="1112"/>
      <c r="AU8" s="1622"/>
      <c r="AV8" s="1112"/>
      <c r="AW8" s="1622"/>
      <c r="AX8" s="2100"/>
      <c r="AY8" s="1835" t="s">
        <v>66</v>
      </c>
      <c r="AZ8" s="2100"/>
      <c r="BA8" s="1835" t="s">
        <v>66</v>
      </c>
      <c r="BB8" s="1714"/>
      <c r="BC8" s="2557" t="s">
        <v>540</v>
      </c>
      <c r="BE8" s="861"/>
      <c r="BF8" s="861" t="str">
        <f>IF(T8="","",T8)</f>
        <v/>
      </c>
      <c r="BG8" s="861"/>
      <c r="BH8" s="861"/>
    </row>
    <row customHeight="1" ht="11.25" hidden="1">
      <c r="A9" s="1729"/>
      <c r="B9" s="1729"/>
      <c r="C9" s="1729"/>
      <c r="D9" s="1729"/>
      <c r="E9" s="2528"/>
      <c r="F9" s="2528"/>
      <c r="G9" s="2528"/>
      <c r="H9" s="2528"/>
      <c r="I9" s="2530"/>
      <c r="J9" s="2530"/>
      <c r="K9" s="2529"/>
      <c r="L9" s="1730"/>
      <c r="P9" s="2531"/>
      <c r="Q9" s="2531"/>
      <c r="R9" s="2607"/>
      <c r="S9" s="2605"/>
      <c r="T9" s="2625"/>
      <c r="U9" s="661"/>
      <c r="V9" s="1759"/>
      <c r="W9" s="1862"/>
      <c r="X9" s="1759"/>
      <c r="Y9" s="1862"/>
      <c r="Z9" s="1759"/>
      <c r="AA9" s="1759"/>
      <c r="AB9" s="1759"/>
      <c r="AC9" s="1759"/>
      <c r="AD9" s="2466"/>
      <c r="AE9" s="2600"/>
      <c r="AF9" s="2478"/>
      <c r="AG9" s="2623"/>
      <c r="AH9" s="2402"/>
      <c r="AI9" s="2600"/>
      <c r="AJ9" s="2478"/>
      <c r="AK9" s="2622"/>
      <c r="AL9" s="2402"/>
      <c r="AM9" s="2458"/>
      <c r="AN9" s="2478"/>
      <c r="AO9" s="2627"/>
      <c r="AP9" s="2629"/>
      <c r="AQ9" s="677"/>
      <c r="AR9" s="777"/>
      <c r="AS9" s="777" t="s">
        <v>541</v>
      </c>
      <c r="AT9" s="1759"/>
      <c r="AU9" s="1862"/>
      <c r="AV9" s="1759"/>
      <c r="AW9" s="1862"/>
      <c r="AX9" s="1759"/>
      <c r="AY9" s="1759"/>
      <c r="AZ9" s="1759"/>
      <c r="BA9" s="1759"/>
      <c r="BB9" s="1763"/>
      <c r="BC9" s="2558"/>
      <c r="BE9" s="861"/>
      <c r="BF9" s="861"/>
      <c r="BG9" s="861"/>
      <c r="BH9" s="861"/>
    </row>
    <row customHeight="1" ht="11.25" hidden="1">
      <c r="A10" s="1729"/>
      <c r="B10" s="1729"/>
      <c r="C10" s="1729"/>
      <c r="D10" s="1729"/>
      <c r="E10" s="2528"/>
      <c r="F10" s="2528"/>
      <c r="G10" s="2528"/>
      <c r="H10" s="2528"/>
      <c r="I10" s="2530"/>
      <c r="J10" s="2530"/>
      <c r="K10" s="2529"/>
      <c r="L10" s="1730"/>
      <c r="P10" s="2531"/>
      <c r="Q10" s="2531"/>
      <c r="R10" s="2607"/>
      <c r="S10" s="2605"/>
      <c r="T10" s="2625"/>
      <c r="U10" s="661"/>
      <c r="V10" s="1759"/>
      <c r="W10" s="1862"/>
      <c r="X10" s="1759"/>
      <c r="Y10" s="1862"/>
      <c r="Z10" s="1759"/>
      <c r="AA10" s="1759"/>
      <c r="AB10" s="1759"/>
      <c r="AC10" s="1759"/>
      <c r="AD10" s="2466"/>
      <c r="AE10" s="2600"/>
      <c r="AF10" s="2478"/>
      <c r="AG10" s="2623"/>
      <c r="AH10" s="2402"/>
      <c r="AI10" s="2600"/>
      <c r="AJ10" s="2478"/>
      <c r="AK10" s="2622"/>
      <c r="AL10" s="2402"/>
      <c r="AM10" s="677"/>
      <c r="AN10" s="1866"/>
      <c r="AO10" s="1866" t="s">
        <v>561</v>
      </c>
      <c r="AP10" s="777"/>
      <c r="AQ10" s="777"/>
      <c r="AR10" s="777"/>
      <c r="AS10" s="1759"/>
      <c r="AT10" s="1759"/>
      <c r="AU10" s="1862"/>
      <c r="AV10" s="1759"/>
      <c r="AW10" s="1862"/>
      <c r="AX10" s="1759"/>
      <c r="AY10" s="1759"/>
      <c r="AZ10" s="1759"/>
      <c r="BA10" s="1759"/>
      <c r="BB10" s="1763"/>
      <c r="BC10" s="2558"/>
      <c r="BE10" s="861"/>
      <c r="BF10" s="861"/>
      <c r="BG10" s="861"/>
      <c r="BH10" s="861"/>
    </row>
    <row customHeight="1" ht="11.25" hidden="1">
      <c r="A11" s="1729"/>
      <c r="B11" s="1729"/>
      <c r="C11" s="1729"/>
      <c r="D11" s="1729"/>
      <c r="E11" s="2528"/>
      <c r="F11" s="2528"/>
      <c r="G11" s="2528"/>
      <c r="H11" s="2528"/>
      <c r="I11" s="2530"/>
      <c r="J11" s="2530"/>
      <c r="K11" s="2529"/>
      <c r="L11" s="1730"/>
      <c r="P11" s="2531"/>
      <c r="Q11" s="2531"/>
      <c r="R11" s="2607"/>
      <c r="S11" s="2605"/>
      <c r="T11" s="2625"/>
      <c r="U11" s="661"/>
      <c r="V11" s="1759"/>
      <c r="W11" s="1862"/>
      <c r="X11" s="1759"/>
      <c r="Y11" s="1862"/>
      <c r="Z11" s="1759"/>
      <c r="AA11" s="1759"/>
      <c r="AB11" s="1759"/>
      <c r="AC11" s="1759"/>
      <c r="AD11" s="2466"/>
      <c r="AE11" s="2600"/>
      <c r="AF11" s="2478"/>
      <c r="AG11" s="2623"/>
      <c r="AH11" s="2402"/>
      <c r="AI11" s="655"/>
      <c r="AJ11" s="776"/>
      <c r="AK11" s="674" t="s">
        <v>562</v>
      </c>
      <c r="AL11" s="1759"/>
      <c r="AM11" s="1759"/>
      <c r="AN11" s="1759"/>
      <c r="AO11" s="1759"/>
      <c r="AP11" s="1759"/>
      <c r="AQ11" s="1759"/>
      <c r="AR11" s="1759"/>
      <c r="AS11" s="1759"/>
      <c r="AT11" s="1759"/>
      <c r="AU11" s="1862"/>
      <c r="AV11" s="1759"/>
      <c r="AW11" s="1862"/>
      <c r="AX11" s="1759"/>
      <c r="AY11" s="1759"/>
      <c r="AZ11" s="1759"/>
      <c r="BA11" s="1759"/>
      <c r="BB11" s="1763"/>
      <c r="BC11" s="2558"/>
      <c r="BE11" s="861"/>
      <c r="BF11" s="861"/>
      <c r="BG11" s="861"/>
      <c r="BH11" s="861"/>
    </row>
    <row customHeight="1" ht="11.25" hidden="1">
      <c r="A12" s="1729"/>
      <c r="B12" s="1729"/>
      <c r="C12" s="1729"/>
      <c r="D12" s="1729"/>
      <c r="E12" s="2528"/>
      <c r="F12" s="2528"/>
      <c r="G12" s="2528"/>
      <c r="H12" s="2528"/>
      <c r="I12" s="2530"/>
      <c r="J12" s="2530"/>
      <c r="K12" s="2529"/>
      <c r="L12" s="1730"/>
      <c r="P12" s="2531"/>
      <c r="Q12" s="2531"/>
      <c r="R12" s="2607"/>
      <c r="S12" s="2606"/>
      <c r="T12" s="2626"/>
      <c r="U12" s="661"/>
      <c r="V12" s="1759"/>
      <c r="W12" s="1760" t="str">
        <f>Z8&amp;"-"&amp;AB8</f>
        <v>-</v>
      </c>
      <c r="X12" s="1759"/>
      <c r="Y12" s="1760" t="str">
        <f>AB8&amp;"-"&amp;AD8</f>
        <v>-да</v>
      </c>
      <c r="Z12" s="1759"/>
      <c r="AA12" s="1759"/>
      <c r="AB12" s="1759"/>
      <c r="AC12" s="1759"/>
      <c r="AD12" s="2407"/>
      <c r="AE12" s="673"/>
      <c r="AF12" s="675"/>
      <c r="AG12" s="777" t="s">
        <v>544</v>
      </c>
      <c r="AH12" s="1759"/>
      <c r="AI12" s="1759"/>
      <c r="AJ12" s="1759"/>
      <c r="AK12" s="1759"/>
      <c r="AL12" s="1759"/>
      <c r="AM12" s="1759"/>
      <c r="AN12" s="1759"/>
      <c r="AO12" s="1759"/>
      <c r="AP12" s="1759"/>
      <c r="AQ12" s="1759"/>
      <c r="AR12" s="1759"/>
      <c r="AS12" s="1759"/>
      <c r="AT12" s="1759"/>
      <c r="AU12" s="1760" t="str">
        <f>AX8&amp;"-"&amp;AZ8</f>
        <v>-</v>
      </c>
      <c r="AV12" s="1759"/>
      <c r="AW12" s="1760" t="str">
        <f>AZ8&amp;"-"&amp;BB8</f>
        <v>-</v>
      </c>
      <c r="AX12" s="1759"/>
      <c r="AY12" s="1759"/>
      <c r="AZ12" s="1759"/>
      <c r="BA12" s="1759"/>
      <c r="BB12" s="1762" t="str">
        <f>BE8&amp;"-"&amp;BG8</f>
        <v>-</v>
      </c>
      <c r="BC12" s="2558"/>
      <c r="BE12" s="861"/>
      <c r="BF12" s="861" t="str">
        <f>IF(T12="","",T12)</f>
        <v/>
      </c>
      <c r="BG12" s="861"/>
      <c r="BH12" s="861"/>
    </row>
    <row customHeight="1" ht="11.25" hidden="1">
      <c r="A13" s="1729"/>
      <c r="B13" s="1729"/>
      <c r="C13" s="1729"/>
      <c r="D13" s="1729"/>
      <c r="E13" s="2528"/>
      <c r="F13" s="2528"/>
      <c r="G13" s="2528"/>
      <c r="H13" s="2528"/>
      <c r="I13" s="2530"/>
      <c r="J13" s="2529"/>
      <c r="K13" s="1729"/>
      <c r="L13" s="1730"/>
      <c r="P13" s="2531"/>
      <c r="Q13" s="2531"/>
      <c r="R13" s="717"/>
      <c r="S13" s="1644"/>
      <c r="T13" s="648" t="s">
        <v>506</v>
      </c>
      <c r="U13" s="728"/>
      <c r="V13" s="728"/>
      <c r="W13" s="728"/>
      <c r="X13" s="728"/>
      <c r="Y13" s="728"/>
      <c r="Z13" s="728"/>
      <c r="AA13" s="728"/>
      <c r="AB13" s="728"/>
      <c r="AC13" s="728"/>
      <c r="AD13" s="1871"/>
      <c r="AE13" s="728"/>
      <c r="AF13" s="728"/>
      <c r="AG13" s="728"/>
      <c r="AH13" s="728"/>
      <c r="AI13" s="728"/>
      <c r="AJ13" s="728"/>
      <c r="AK13" s="728"/>
      <c r="AL13" s="728"/>
      <c r="AM13" s="728"/>
      <c r="AN13" s="728"/>
      <c r="AO13" s="728"/>
      <c r="AP13" s="728"/>
      <c r="AQ13" s="728"/>
      <c r="AR13" s="728"/>
      <c r="AS13" s="728"/>
      <c r="AT13" s="728"/>
      <c r="AU13" s="728"/>
      <c r="AV13" s="728"/>
      <c r="AW13" s="728"/>
      <c r="AX13" s="728"/>
      <c r="AY13" s="728"/>
      <c r="AZ13" s="728"/>
      <c r="BA13" s="728"/>
      <c r="BB13" s="685"/>
      <c r="BC13" s="2559"/>
      <c r="BE13" s="861"/>
      <c r="BF13" s="861" t="str">
        <f>IF(T13="","",T13)</f>
        <v>Добавить строку</v>
      </c>
      <c r="BG13" s="861"/>
      <c r="BH13" s="861"/>
    </row>
    <row s="32289" customFormat="1" customHeight="1" ht="14.25" hidden="1">
      <c r="A14" s="1709"/>
      <c r="B14" s="1709"/>
      <c r="C14" s="1709"/>
      <c r="D14" s="1709"/>
      <c r="E14" s="2528"/>
      <c r="F14" s="2528"/>
      <c r="G14" s="2528"/>
      <c r="H14" s="2528"/>
      <c r="I14" s="2529"/>
      <c r="J14" s="1709"/>
      <c r="K14" s="1709"/>
      <c r="L14" s="1712"/>
      <c r="M14" s="871"/>
      <c r="N14" s="871"/>
      <c r="O14" s="871"/>
      <c r="P14" s="2531"/>
      <c r="Q14" s="1847"/>
      <c r="R14" s="717"/>
      <c r="S14" s="1752"/>
      <c r="T14" s="1753"/>
      <c r="U14" s="1754"/>
      <c r="V14" s="1754"/>
      <c r="W14" s="1754"/>
      <c r="X14" s="1754"/>
      <c r="Y14" s="1754"/>
      <c r="Z14" s="1754"/>
      <c r="AA14" s="1754"/>
      <c r="AB14" s="1754"/>
      <c r="AC14" s="1754"/>
      <c r="AD14" s="1754"/>
      <c r="AE14" s="1754"/>
      <c r="AF14" s="1754"/>
      <c r="AG14" s="1754"/>
      <c r="AH14" s="1754"/>
      <c r="AI14" s="1754"/>
      <c r="AJ14" s="1754"/>
      <c r="AK14" s="1754"/>
      <c r="AL14" s="1754"/>
      <c r="AM14" s="1754"/>
      <c r="AN14" s="1754"/>
      <c r="AO14" s="1754"/>
      <c r="AP14" s="1754"/>
      <c r="AQ14" s="1754"/>
      <c r="AR14" s="1754"/>
      <c r="AS14" s="1754"/>
      <c r="AT14" s="1754"/>
      <c r="AU14" s="1754"/>
      <c r="AV14" s="1754"/>
      <c r="AW14" s="1754"/>
      <c r="AX14" s="1754"/>
      <c r="AY14" s="1754"/>
      <c r="AZ14" s="1754"/>
      <c r="BA14" s="1754"/>
      <c r="BB14" s="1754"/>
      <c r="BC14" s="1755"/>
      <c r="BE14" s="861"/>
      <c r="BF14" s="861" t="str">
        <f>IF(T14="","",T14)</f>
        <v/>
      </c>
      <c r="BG14" s="861"/>
      <c r="BH14" s="861"/>
    </row>
    <row s="32289" customFormat="1" customHeight="1" ht="14.25" hidden="1">
      <c r="A15" s="1709"/>
      <c r="B15" s="1709"/>
      <c r="C15" s="1709"/>
      <c r="D15" s="1709"/>
      <c r="E15" s="2528"/>
      <c r="F15" s="2528"/>
      <c r="G15" s="2528"/>
      <c r="H15" s="2527"/>
      <c r="I15" s="1709"/>
      <c r="J15" s="1709"/>
      <c r="K15" s="1709"/>
      <c r="L15" s="1712"/>
      <c r="M15" s="1681"/>
      <c r="N15" s="1681"/>
      <c r="O15" s="879"/>
      <c r="P15" s="741"/>
      <c r="Q15" s="1710"/>
      <c r="R15" s="1767"/>
      <c r="S15" s="1752"/>
      <c r="T15" s="1753"/>
      <c r="U15" s="1754"/>
      <c r="V15" s="1754"/>
      <c r="W15" s="1754"/>
      <c r="X15" s="1754"/>
      <c r="Y15" s="1754"/>
      <c r="Z15" s="1754"/>
      <c r="AA15" s="1754"/>
      <c r="AB15" s="1754"/>
      <c r="AC15" s="1754"/>
      <c r="AD15" s="1754"/>
      <c r="AE15" s="1754"/>
      <c r="AF15" s="1754"/>
      <c r="AG15" s="1754"/>
      <c r="AH15" s="1754"/>
      <c r="AI15" s="1754"/>
      <c r="AJ15" s="1754"/>
      <c r="AK15" s="1754"/>
      <c r="AL15" s="1754"/>
      <c r="AM15" s="1754"/>
      <c r="AN15" s="1754"/>
      <c r="AO15" s="1754"/>
      <c r="AP15" s="1754"/>
      <c r="AQ15" s="1754"/>
      <c r="AR15" s="1754"/>
      <c r="AS15" s="1754"/>
      <c r="AT15" s="1754"/>
      <c r="AU15" s="1754"/>
      <c r="AV15" s="1754"/>
      <c r="AW15" s="1754"/>
      <c r="AX15" s="1754"/>
      <c r="AY15" s="1754"/>
      <c r="AZ15" s="1754"/>
      <c r="BA15" s="1754"/>
      <c r="BB15" s="1754"/>
      <c r="BC15" s="1755"/>
      <c r="BE15" s="861"/>
      <c r="BF15" s="861" t="str">
        <f>IF(T15="","",T15)</f>
        <v/>
      </c>
      <c r="BG15" s="861"/>
      <c r="BH15" s="861"/>
    </row>
    <row s="32198" customFormat="1" customHeight="1" ht="14.25" hidden="1">
      <c r="A16" s="1709"/>
      <c r="B16" s="1709"/>
      <c r="C16" s="1709"/>
      <c r="D16" s="1680"/>
      <c r="E16" s="2528"/>
      <c r="F16" s="2528"/>
      <c r="G16" s="2527"/>
      <c r="H16" s="1680"/>
      <c r="I16" s="1680"/>
      <c r="J16" s="1680"/>
      <c r="K16" s="1680"/>
      <c r="L16" s="1860"/>
      <c r="M16" s="1681"/>
      <c r="N16" s="1681"/>
      <c r="P16" s="1682"/>
      <c r="Q16" s="1683"/>
      <c r="R16" s="1682"/>
      <c r="S16" s="1688"/>
      <c r="T16" s="1691"/>
      <c r="U16" s="1690"/>
      <c r="V16" s="1690"/>
      <c r="W16" s="1690"/>
      <c r="X16" s="1690"/>
      <c r="Y16" s="1690"/>
      <c r="Z16" s="1690"/>
      <c r="AA16" s="1690"/>
      <c r="AB16" s="1690"/>
      <c r="AC16" s="1690"/>
      <c r="AD16" s="1690"/>
      <c r="AE16" s="1690"/>
      <c r="AF16" s="1690"/>
      <c r="AG16" s="1690"/>
      <c r="AH16" s="1690"/>
      <c r="AI16" s="1690"/>
      <c r="AJ16" s="1690"/>
      <c r="AK16" s="1690"/>
      <c r="AL16" s="1690"/>
      <c r="AM16" s="1690"/>
      <c r="AN16" s="1690"/>
      <c r="AO16" s="1690"/>
      <c r="AP16" s="1690"/>
      <c r="AQ16" s="1690"/>
      <c r="AR16" s="1690"/>
      <c r="AS16" s="1690"/>
      <c r="AT16" s="1690"/>
      <c r="AU16" s="1690"/>
      <c r="AV16" s="1690"/>
      <c r="AW16" s="1690"/>
      <c r="AX16" s="1690"/>
      <c r="AY16" s="1690"/>
      <c r="AZ16" s="1690"/>
      <c r="BA16" s="1690"/>
      <c r="BB16" s="1690"/>
      <c r="BC16" s="1690"/>
      <c r="BE16" s="1150"/>
      <c r="BF16" s="1150" t="str">
        <f>IF(T16="","",T16)</f>
        <v/>
      </c>
      <c r="BG16" s="1150"/>
      <c r="BH16" s="1150"/>
    </row>
    <row s="32198" customFormat="1" customHeight="1" ht="14.25" hidden="1">
      <c r="A17" s="1709"/>
      <c r="B17" s="1709"/>
      <c r="C17" s="1680"/>
      <c r="D17" s="1680"/>
      <c r="E17" s="2528"/>
      <c r="F17" s="2527"/>
      <c r="G17" s="1680"/>
      <c r="H17" s="1680"/>
      <c r="I17" s="1680"/>
      <c r="J17" s="1680"/>
      <c r="K17" s="1680"/>
      <c r="L17" s="1860"/>
      <c r="M17" s="1687"/>
      <c r="N17" s="1687"/>
      <c r="P17" s="1682"/>
      <c r="Q17" s="1683"/>
      <c r="R17" s="1682"/>
      <c r="S17" s="1688"/>
      <c r="T17" s="1691" t="s">
        <v>262</v>
      </c>
      <c r="U17" s="1690"/>
      <c r="V17" s="1690"/>
      <c r="W17" s="1690"/>
      <c r="X17" s="1690"/>
      <c r="Y17" s="1690"/>
      <c r="Z17" s="1690"/>
      <c r="AA17" s="1690"/>
      <c r="AB17" s="1690"/>
      <c r="AC17" s="1690"/>
      <c r="AD17" s="1690"/>
      <c r="AE17" s="1690"/>
      <c r="AF17" s="1690"/>
      <c r="AG17" s="1690"/>
      <c r="AH17" s="1690"/>
      <c r="AI17" s="1690"/>
      <c r="AJ17" s="1690"/>
      <c r="AK17" s="1690"/>
      <c r="AL17" s="1690"/>
      <c r="AM17" s="1690"/>
      <c r="AN17" s="1690"/>
      <c r="AO17" s="1690"/>
      <c r="AP17" s="1690"/>
      <c r="AQ17" s="1690"/>
      <c r="AR17" s="1690"/>
      <c r="AS17" s="1690"/>
      <c r="AT17" s="1690"/>
      <c r="AU17" s="1690"/>
      <c r="AV17" s="1690"/>
      <c r="AW17" s="1690"/>
      <c r="AX17" s="1690"/>
      <c r="AY17" s="1690"/>
      <c r="AZ17" s="1690"/>
      <c r="BA17" s="1690"/>
      <c r="BB17" s="1690"/>
      <c r="BC17" s="1690"/>
      <c r="BE17" s="1150"/>
      <c r="BF17" s="1150" t="str">
        <f>IF(T17="","",T17)</f>
        <v>Добавить централизованную систему для дифференциации</v>
      </c>
      <c r="BG17" s="1150"/>
      <c r="BH17" s="1150"/>
    </row>
    <row s="32289" customFormat="1" customHeight="1" ht="14.25" hidden="1">
      <c r="A18" s="1709"/>
      <c r="B18" s="1709"/>
      <c r="C18" s="1709"/>
      <c r="D18" s="1709"/>
      <c r="E18" s="2527"/>
      <c r="F18" s="1709"/>
      <c r="G18" s="1709"/>
      <c r="H18" s="1709"/>
      <c r="I18" s="1709"/>
      <c r="J18" s="1709"/>
      <c r="K18" s="1709"/>
      <c r="L18" s="1712"/>
      <c r="M18" s="1687"/>
      <c r="N18" s="1687"/>
      <c r="O18" s="879"/>
      <c r="P18" s="741"/>
      <c r="Q18" s="1710"/>
      <c r="R18" s="741"/>
      <c r="S18" s="1688"/>
      <c r="T18" s="1691" t="s">
        <v>270</v>
      </c>
      <c r="U18" s="1690"/>
      <c r="V18" s="1690"/>
      <c r="W18" s="1690"/>
      <c r="X18" s="1690"/>
      <c r="Y18" s="1690"/>
      <c r="Z18" s="1690"/>
      <c r="AA18" s="1690"/>
      <c r="AB18" s="1690"/>
      <c r="AC18" s="1690"/>
      <c r="AD18" s="1690"/>
      <c r="AE18" s="1690"/>
      <c r="AF18" s="1690"/>
      <c r="AG18" s="1690"/>
      <c r="AH18" s="1690"/>
      <c r="AI18" s="1690"/>
      <c r="AJ18" s="1690"/>
      <c r="AK18" s="1690"/>
      <c r="AL18" s="1690"/>
      <c r="AM18" s="1690"/>
      <c r="AN18" s="1690"/>
      <c r="AO18" s="1690"/>
      <c r="AP18" s="1690"/>
      <c r="AQ18" s="1690"/>
      <c r="AR18" s="1690"/>
      <c r="AS18" s="1690"/>
      <c r="AT18" s="1690"/>
      <c r="AU18" s="1690"/>
      <c r="AV18" s="1690"/>
      <c r="AW18" s="1690"/>
      <c r="AX18" s="1690"/>
      <c r="AY18" s="1690"/>
      <c r="AZ18" s="1690"/>
      <c r="BA18" s="1690"/>
      <c r="BB18" s="1690"/>
      <c r="BC18" s="1690"/>
      <c r="BE18" s="861"/>
      <c r="BF18" s="861" t="str">
        <f>IF(T18="","",T18)</f>
        <v>Добавить территорию для дифференциации</v>
      </c>
      <c r="BG18" s="861"/>
      <c r="BH18" s="861"/>
    </row>
    <row customHeight="1" ht="14.25" hidden="1">
      <c r="AC19" s="688"/>
      <c r="BA19" s="688"/>
    </row>
    <row customHeight="1" ht="14.25" hidden="1">
      <c r="AD20" s="1690" t="s">
        <v>56</v>
      </c>
      <c r="AE20" s="1867"/>
      <c r="AF20" s="909">
        <v>1</v>
      </c>
      <c r="AG20" s="1868"/>
      <c r="AH20" s="1690" t="s">
        <v>56</v>
      </c>
      <c r="AI20" s="1867"/>
      <c r="AJ20" s="909">
        <v>1</v>
      </c>
      <c r="AK20" s="1868"/>
      <c r="AL20" s="1690" t="s">
        <v>56</v>
      </c>
      <c r="AM20" s="1869"/>
      <c r="AN20" s="909">
        <v>1</v>
      </c>
      <c r="AO20" s="1870"/>
      <c r="AP20" s="1690" t="s">
        <v>56</v>
      </c>
      <c r="AQ20" s="1869"/>
      <c r="AR20" s="909">
        <v>1</v>
      </c>
      <c r="AS20" s="1870"/>
      <c r="AT20" s="686"/>
      <c r="AU20" s="745"/>
      <c r="AV20" s="686"/>
      <c r="AW20" s="745"/>
      <c r="AX20" s="2102"/>
      <c r="AY20" s="1851" t="s">
        <v>66</v>
      </c>
      <c r="AZ20" s="2102"/>
      <c r="BA20" s="1851" t="s">
        <v>66</v>
      </c>
    </row>
    <row customHeight="1" ht="14.25" hidden="1">
      <c r="BD21" s="857"/>
      <c r="BE21" s="857"/>
      <c r="BF21" s="857"/>
      <c r="BG21" s="857"/>
      <c r="BH21" s="857"/>
    </row>
    <row customHeight="1" ht="14.25" hidden="1">
      <c r="O22" s="1733" t="s">
        <v>456</v>
      </c>
      <c r="Z22" s="1711"/>
      <c r="AB22" s="1711"/>
      <c r="AC22" s="688"/>
      <c r="AX22" s="1711"/>
      <c r="AZ22" s="1711"/>
      <c r="BA22" s="688"/>
      <c r="BD22" s="857"/>
      <c r="BE22" s="857"/>
      <c r="BF22" s="857"/>
      <c r="BG22" s="857"/>
      <c r="BH22" s="857"/>
    </row>
    <row customHeight="1" ht="14.25" hidden="1">
      <c r="AC23" s="688"/>
      <c r="BA23" s="688"/>
      <c r="BD23" s="857"/>
      <c r="BE23" s="857"/>
      <c r="BF23" s="857"/>
      <c r="BG23" s="857"/>
      <c r="BH23" s="857"/>
    </row>
    <row s="32444" customFormat="1" customHeight="1" ht="14.25" hidden="1">
      <c r="M24" s="1874"/>
      <c r="N24" s="1874"/>
      <c r="O24" s="1875" t="s">
        <v>457</v>
      </c>
      <c r="P24" s="1874"/>
      <c r="Q24" s="1876"/>
      <c r="R24" s="1876"/>
      <c r="AA24" s="1873" t="s">
        <v>459</v>
      </c>
      <c r="AC24" s="1873" t="s">
        <v>460</v>
      </c>
      <c r="AD24" s="1873" t="s">
        <v>507</v>
      </c>
      <c r="AH24" s="1873" t="s">
        <v>507</v>
      </c>
      <c r="AK24" s="1873" t="s">
        <v>545</v>
      </c>
      <c r="AL24" s="1873" t="s">
        <v>507</v>
      </c>
      <c r="AP24" s="1873" t="s">
        <v>507</v>
      </c>
      <c r="AY24" s="1873" t="s">
        <v>459</v>
      </c>
      <c r="BA24" s="1873" t="s">
        <v>460</v>
      </c>
      <c r="BD24" s="1877"/>
      <c r="BE24" s="1877"/>
      <c r="BF24" s="1877"/>
      <c r="BG24" s="1877"/>
      <c r="BH24" s="1877"/>
    </row>
    <row customHeight="1" ht="14.25" hidden="1">
      <c r="O25" s="1730"/>
      <c r="BD25" s="857"/>
      <c r="BE25" s="857"/>
      <c r="BF25" s="857"/>
      <c r="BG25" s="857"/>
      <c r="BH25" s="857"/>
    </row>
    <row customHeight="1" ht="14.25" hidden="1">
      <c r="O26" s="1730"/>
      <c r="BD26" s="857"/>
      <c r="BE26" s="857"/>
      <c r="BF26" s="857"/>
      <c r="BG26" s="857"/>
      <c r="BH26" s="857"/>
    </row>
    <row customHeight="1" ht="14.25">
      <c r="Q27" s="652"/>
      <c r="R27" s="737"/>
      <c r="S27" s="1641"/>
      <c r="T27" s="724"/>
      <c r="U27" s="724"/>
      <c r="V27" s="870"/>
      <c r="W27" s="870"/>
      <c r="X27" s="870"/>
      <c r="Y27" s="870"/>
      <c r="Z27" s="870"/>
      <c r="AA27" s="870"/>
      <c r="AB27" s="870"/>
      <c r="AC27" s="870"/>
      <c r="AD27" s="870"/>
      <c r="AE27" s="870"/>
      <c r="AF27" s="870"/>
      <c r="AG27" s="870"/>
      <c r="AH27" s="870"/>
      <c r="AI27" s="870"/>
      <c r="AJ27" s="870"/>
      <c r="AK27" s="870"/>
      <c r="AL27" s="870"/>
      <c r="AM27" s="870"/>
      <c r="AN27" s="870"/>
      <c r="AO27" s="870"/>
      <c r="AP27" s="870"/>
      <c r="AQ27" s="870"/>
      <c r="AR27" s="870"/>
      <c r="AS27" s="870"/>
      <c r="AT27" s="870"/>
      <c r="AU27" s="870"/>
      <c r="AV27" s="870"/>
      <c r="AW27" s="870"/>
      <c r="AX27" s="870"/>
      <c r="AY27" s="870"/>
      <c r="AZ27" s="870"/>
      <c r="BA27" s="870"/>
    </row>
    <row customHeight="1" ht="14.25">
      <c r="Q28" s="652"/>
      <c r="R28" s="737"/>
      <c r="S28" s="256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560"/>
      <c r="U28" s="2560"/>
      <c r="V28" s="2560"/>
      <c r="W28" s="2560"/>
      <c r="X28" s="2560"/>
      <c r="Y28" s="2560"/>
      <c r="Z28" s="2560"/>
      <c r="AA28" s="2560"/>
      <c r="AB28" s="2560"/>
      <c r="AC28" s="2560"/>
      <c r="AD28" s="2560"/>
      <c r="AE28" s="2560"/>
      <c r="AF28" s="2560"/>
      <c r="AG28" s="2560"/>
      <c r="AH28" s="2560"/>
      <c r="AI28" s="2560"/>
      <c r="AJ28" s="2560"/>
      <c r="AK28" s="2560"/>
      <c r="AL28" s="2560"/>
      <c r="AM28" s="2560"/>
      <c r="AN28" s="2560"/>
      <c r="AO28" s="2560"/>
      <c r="AP28" s="2560"/>
      <c r="AQ28" s="2560"/>
      <c r="AR28" s="2560"/>
      <c r="AS28" s="2560"/>
      <c r="AT28" s="2560"/>
      <c r="AU28" s="2560"/>
      <c r="AV28" s="2560"/>
      <c r="AW28" s="2560"/>
      <c r="AX28" s="2560"/>
      <c r="AY28" s="2560"/>
      <c r="AZ28" s="2560"/>
      <c r="BA28" s="1608"/>
    </row>
    <row customHeight="1" ht="14.25">
      <c r="Q29" s="652"/>
      <c r="R29" s="737"/>
      <c r="S29" s="2561" t="str">
        <f>IF(org=0,"Не определено",org)</f>
        <v>АО "Мурманэнергосбыт"</v>
      </c>
      <c r="T29" s="2561"/>
      <c r="U29" s="2561"/>
      <c r="V29" s="2561"/>
      <c r="W29" s="2561"/>
      <c r="X29" s="2561"/>
      <c r="Y29" s="2561"/>
      <c r="Z29" s="2561"/>
      <c r="AA29" s="2561"/>
      <c r="AB29" s="2561"/>
      <c r="AC29" s="2561"/>
      <c r="AD29" s="2561"/>
      <c r="AE29" s="2561"/>
      <c r="AF29" s="2561"/>
      <c r="AG29" s="2561"/>
      <c r="AH29" s="2561"/>
      <c r="AI29" s="2561"/>
      <c r="AJ29" s="2561"/>
      <c r="AK29" s="2561"/>
      <c r="AL29" s="2561"/>
      <c r="AM29" s="2561"/>
      <c r="AN29" s="2561"/>
      <c r="AO29" s="2561"/>
      <c r="AP29" s="2561"/>
      <c r="AQ29" s="2561"/>
      <c r="AR29" s="2561"/>
      <c r="AS29" s="2561"/>
      <c r="AT29" s="2561"/>
      <c r="AU29" s="2561"/>
      <c r="AV29" s="2561"/>
      <c r="AW29" s="2561"/>
      <c r="AX29" s="2561"/>
      <c r="AY29" s="2561"/>
      <c r="AZ29" s="2561"/>
      <c r="BA29" s="1608"/>
    </row>
    <row customHeight="1" ht="14.25">
      <c r="Q30" s="652"/>
      <c r="R30" s="737"/>
      <c r="S30" s="1641"/>
      <c r="T30" s="724"/>
      <c r="U30" s="724"/>
      <c r="V30" s="683"/>
      <c r="W30" s="683"/>
      <c r="X30" s="683"/>
      <c r="Y30" s="683"/>
      <c r="Z30" s="683"/>
      <c r="AA30" s="683"/>
      <c r="AB30" s="683"/>
      <c r="AC30" s="683"/>
      <c r="AD30" s="683"/>
      <c r="AE30" s="683"/>
      <c r="AF30" s="683"/>
      <c r="AG30" s="683"/>
      <c r="AH30" s="683"/>
      <c r="AI30" s="683"/>
      <c r="AJ30" s="683"/>
      <c r="AK30" s="683"/>
      <c r="AL30" s="683"/>
      <c r="AM30" s="683"/>
      <c r="AN30" s="683"/>
      <c r="AO30" s="683"/>
      <c r="AP30" s="683"/>
      <c r="AQ30" s="683"/>
      <c r="AR30" s="683"/>
      <c r="AS30" s="683"/>
      <c r="AT30" s="683"/>
      <c r="AU30" s="683"/>
      <c r="AV30" s="683"/>
      <c r="AW30" s="683"/>
      <c r="AX30" s="683"/>
      <c r="AY30" s="683"/>
      <c r="AZ30" s="683"/>
      <c r="BA30" s="683"/>
      <c r="BB30" s="870"/>
    </row>
    <row s="32230" customFormat="1" customHeight="1" ht="25.5">
      <c r="A31" s="1734"/>
      <c r="B31" s="1734"/>
      <c r="C31" s="1734"/>
      <c r="D31" s="1734"/>
      <c r="E31" s="1734"/>
      <c r="F31" s="1734"/>
      <c r="G31" s="1734"/>
      <c r="H31" s="1734"/>
      <c r="I31" s="1734"/>
      <c r="J31" s="1734"/>
      <c r="K31" s="1734"/>
      <c r="L31" s="1735"/>
      <c r="M31" s="1734"/>
      <c r="N31" s="1734"/>
      <c r="O31" s="1734"/>
      <c r="P31" s="1734"/>
      <c r="Q31" s="1734"/>
      <c r="S31" s="2518" t="s">
        <v>38</v>
      </c>
      <c r="T31" s="2518"/>
      <c r="U31" s="1738"/>
      <c r="V31" s="2520" t="str">
        <f>IF(TITLE_NAME_OR_PR_CHANGE="",IF(TITLE_NAME_OR_PR="","",TITLE_NAME_OR_PR),TITLE_NAME_OR_PR_CHANGE)</f>
        <v>Комитет по тарифному регулированию Мурманской области</v>
      </c>
      <c r="W31" s="2520"/>
      <c r="X31" s="2520"/>
      <c r="Y31" s="2520"/>
      <c r="Z31" s="2520"/>
      <c r="AA31" s="2520"/>
      <c r="AB31" s="2520"/>
      <c r="AC31" s="687"/>
      <c r="AD31" s="2520" t="str">
        <f>IF(TITLE_NAME_OR_PR_CHANGE="",IF(TITLE_NAME_OR_PR="","",TITLE_NAME_OR_PR),TITLE_NAME_OR_PR_CHANGE)</f>
        <v>Комитет по тарифному регулированию Мурманской области</v>
      </c>
      <c r="AE31" s="2520"/>
      <c r="AF31" s="2520"/>
      <c r="AG31" s="2520"/>
      <c r="AH31" s="2520"/>
      <c r="AI31" s="2520"/>
      <c r="AJ31" s="2520"/>
      <c r="AK31" s="2520"/>
      <c r="AL31" s="2520"/>
      <c r="AM31" s="2520"/>
      <c r="AN31" s="2520"/>
      <c r="AO31" s="2520"/>
      <c r="AP31" s="2520"/>
      <c r="AQ31" s="2520"/>
      <c r="AR31" s="2520"/>
      <c r="AS31" s="2520"/>
      <c r="AT31" s="2520"/>
      <c r="AU31" s="2520"/>
      <c r="AV31" s="2520"/>
      <c r="AW31" s="2520"/>
      <c r="AX31" s="2520"/>
      <c r="AY31" s="2520"/>
      <c r="AZ31" s="2520"/>
      <c r="BA31" s="687"/>
      <c r="BB31" s="687"/>
      <c r="BC31" s="641"/>
      <c r="BD31" s="729"/>
      <c r="BE31" s="729"/>
      <c r="BF31" s="729"/>
      <c r="BG31" s="729"/>
      <c r="BH31" s="729"/>
    </row>
    <row s="32230" customFormat="1" customHeight="1" ht="18.75">
      <c r="A32" s="1734"/>
      <c r="B32" s="1734"/>
      <c r="C32" s="1734"/>
      <c r="D32" s="1734"/>
      <c r="E32" s="1734"/>
      <c r="F32" s="1734"/>
      <c r="G32" s="1734"/>
      <c r="H32" s="1734"/>
      <c r="I32" s="1734"/>
      <c r="J32" s="1734"/>
      <c r="K32" s="1734"/>
      <c r="L32" s="1735"/>
      <c r="M32" s="1734"/>
      <c r="N32" s="1734"/>
      <c r="O32" s="1734"/>
      <c r="P32" s="1734"/>
      <c r="Q32" s="1734"/>
      <c r="S32" s="2518" t="s">
        <v>462</v>
      </c>
      <c r="T32" s="2518"/>
      <c r="U32" s="1738"/>
      <c r="V32" s="2519" t="str">
        <f>IF(TITLE_DATE_PR_CHANGE="",IF(TITLE_DATE_PR="","",TITLE_DATE_PR),TITLE_DATE_PR_CHANGE)</f>
        <v>45280</v>
      </c>
      <c r="W32" s="2519"/>
      <c r="X32" s="2519"/>
      <c r="Y32" s="2519"/>
      <c r="Z32" s="2519"/>
      <c r="AA32" s="2519"/>
      <c r="AB32" s="2519"/>
      <c r="AC32" s="687"/>
      <c r="AD32" s="2519" t="str">
        <f>IF(TITLE_DATE_PR_CHANGE="",IF(TITLE_DATE_PR="","",TITLE_DATE_PR),TITLE_DATE_PR_CHANGE)</f>
        <v>45280</v>
      </c>
      <c r="AE32" s="2519"/>
      <c r="AF32" s="2519"/>
      <c r="AG32" s="2519"/>
      <c r="AH32" s="2519"/>
      <c r="AI32" s="2519"/>
      <c r="AJ32" s="2519"/>
      <c r="AK32" s="2519"/>
      <c r="AL32" s="2519"/>
      <c r="AM32" s="2519"/>
      <c r="AN32" s="2519"/>
      <c r="AO32" s="2519"/>
      <c r="AP32" s="2519"/>
      <c r="AQ32" s="2519"/>
      <c r="AR32" s="2519"/>
      <c r="AS32" s="2519"/>
      <c r="AT32" s="2519"/>
      <c r="AU32" s="2519"/>
      <c r="AV32" s="2519"/>
      <c r="AW32" s="2519"/>
      <c r="AX32" s="2519"/>
      <c r="AY32" s="2519"/>
      <c r="AZ32" s="2519"/>
      <c r="BA32" s="687"/>
      <c r="BB32" s="687"/>
      <c r="BC32" s="641"/>
      <c r="BD32" s="729"/>
      <c r="BE32" s="729"/>
      <c r="BF32" s="729"/>
      <c r="BG32" s="729"/>
      <c r="BH32" s="729"/>
    </row>
    <row s="32230" customFormat="1" customHeight="1" ht="18.75">
      <c r="A33" s="1734"/>
      <c r="B33" s="1734"/>
      <c r="C33" s="1734"/>
      <c r="D33" s="1734"/>
      <c r="E33" s="1734"/>
      <c r="F33" s="1734"/>
      <c r="G33" s="1734"/>
      <c r="H33" s="1734"/>
      <c r="I33" s="1734"/>
      <c r="J33" s="1734"/>
      <c r="K33" s="1734"/>
      <c r="L33" s="1735"/>
      <c r="M33" s="1734"/>
      <c r="N33" s="1734"/>
      <c r="O33" s="1734"/>
      <c r="P33" s="1734"/>
      <c r="Q33" s="1734"/>
      <c r="S33" s="2518" t="s">
        <v>463</v>
      </c>
      <c r="T33" s="2518"/>
      <c r="U33" s="1738"/>
      <c r="V33" s="2520" t="str">
        <f>IF(TITLE_NUMBER_PR_CHANGE="",IF(TITLE_NUMBER_PR="","",TITLE_NUMBER_PR),TITLE_NUMBER_PR_CHANGE)</f>
        <v>51/16</v>
      </c>
      <c r="W33" s="2520"/>
      <c r="X33" s="2520"/>
      <c r="Y33" s="2520"/>
      <c r="Z33" s="2520"/>
      <c r="AA33" s="2520"/>
      <c r="AB33" s="2520"/>
      <c r="AC33" s="687"/>
      <c r="AD33" s="2520" t="str">
        <f>IF(TITLE_NUMBER_PR_CHANGE="",IF(TITLE_NUMBER_PR="","",TITLE_NUMBER_PR),TITLE_NUMBER_PR_CHANGE)</f>
        <v>51/16</v>
      </c>
      <c r="AE33" s="2520"/>
      <c r="AF33" s="2520"/>
      <c r="AG33" s="2520"/>
      <c r="AH33" s="2520"/>
      <c r="AI33" s="2520"/>
      <c r="AJ33" s="2520"/>
      <c r="AK33" s="2520"/>
      <c r="AL33" s="2520"/>
      <c r="AM33" s="2520"/>
      <c r="AN33" s="2520"/>
      <c r="AO33" s="2520"/>
      <c r="AP33" s="2520"/>
      <c r="AQ33" s="2520"/>
      <c r="AR33" s="2520"/>
      <c r="AS33" s="2520"/>
      <c r="AT33" s="2520"/>
      <c r="AU33" s="2520"/>
      <c r="AV33" s="2520"/>
      <c r="AW33" s="2520"/>
      <c r="AX33" s="2520"/>
      <c r="AY33" s="2520"/>
      <c r="AZ33" s="2520"/>
      <c r="BA33" s="687"/>
      <c r="BB33" s="687"/>
      <c r="BC33" s="641"/>
      <c r="BD33" s="729"/>
      <c r="BE33" s="729"/>
      <c r="BF33" s="729"/>
      <c r="BG33" s="729"/>
      <c r="BH33" s="729"/>
    </row>
    <row s="32230" customFormat="1" customHeight="1" ht="18.75">
      <c r="A34" s="1734"/>
      <c r="B34" s="1734"/>
      <c r="C34" s="1734"/>
      <c r="D34" s="1734"/>
      <c r="E34" s="1734"/>
      <c r="F34" s="1734"/>
      <c r="G34" s="1734"/>
      <c r="H34" s="1734"/>
      <c r="I34" s="1734"/>
      <c r="J34" s="1734"/>
      <c r="K34" s="1734"/>
      <c r="L34" s="1735"/>
      <c r="M34" s="1734"/>
      <c r="N34" s="1734"/>
      <c r="O34" s="1734"/>
      <c r="P34" s="1734"/>
      <c r="Q34" s="1734"/>
      <c r="S34" s="2518" t="s">
        <v>40</v>
      </c>
      <c r="T34" s="2518"/>
      <c r="U34" s="1738"/>
      <c r="V34" s="2520" t="str">
        <f>IF(TITLE_IST_PUB_CHANGE="",IF(TITLE_IST_PUB="","",TITLE_IST_PUB),TITLE_IST_PUB_CHANGE)</f>
        <v>https://npa.gov-murman.ru/bitrix/components/b1team/govmurman.element.file/download.php?ID=508455&amp;FID=750728</v>
      </c>
      <c r="W34" s="2520"/>
      <c r="X34" s="2520"/>
      <c r="Y34" s="2520"/>
      <c r="Z34" s="2520"/>
      <c r="AA34" s="2520"/>
      <c r="AB34" s="2520"/>
      <c r="AC34" s="687"/>
      <c r="AD34" s="2520" t="str">
        <f>IF(TITLE_IST_PUB_CHANGE="",IF(TITLE_IST_PUB="","",TITLE_IST_PUB),TITLE_IST_PUB_CHANGE)</f>
        <v>https://npa.gov-murman.ru/bitrix/components/b1team/govmurman.element.file/download.php?ID=508455&amp;FID=750728</v>
      </c>
      <c r="AE34" s="2520"/>
      <c r="AF34" s="2520"/>
      <c r="AG34" s="2520"/>
      <c r="AH34" s="2520"/>
      <c r="AI34" s="2520"/>
      <c r="AJ34" s="2520"/>
      <c r="AK34" s="2520"/>
      <c r="AL34" s="2520"/>
      <c r="AM34" s="2520"/>
      <c r="AN34" s="2520"/>
      <c r="AO34" s="2520"/>
      <c r="AP34" s="2520"/>
      <c r="AQ34" s="2520"/>
      <c r="AR34" s="2520"/>
      <c r="AS34" s="2520"/>
      <c r="AT34" s="2520"/>
      <c r="AU34" s="2520"/>
      <c r="AV34" s="2520"/>
      <c r="AW34" s="2520"/>
      <c r="AX34" s="2520"/>
      <c r="AY34" s="2520"/>
      <c r="AZ34" s="2520"/>
      <c r="BA34" s="687"/>
      <c r="BB34" s="687"/>
      <c r="BC34" s="641"/>
      <c r="BD34" s="729"/>
      <c r="BE34" s="729"/>
      <c r="BF34" s="729"/>
      <c r="BG34" s="729"/>
      <c r="BH34" s="729"/>
    </row>
    <row customHeight="1" ht="14.25" hidden="1">
      <c r="Q35" s="652"/>
      <c r="R35" s="737"/>
      <c r="S35" s="1641"/>
      <c r="T35" s="724"/>
      <c r="U35" s="724"/>
      <c r="V35" s="683"/>
      <c r="W35" s="683"/>
      <c r="X35" s="683"/>
      <c r="Y35" s="683"/>
      <c r="Z35" s="683"/>
      <c r="AA35" s="683"/>
      <c r="AB35" s="683"/>
      <c r="AC35" s="683"/>
      <c r="AD35" s="683"/>
      <c r="AE35" s="683"/>
      <c r="AF35" s="683"/>
      <c r="AG35" s="683"/>
      <c r="AH35" s="683"/>
      <c r="AI35" s="683"/>
      <c r="AJ35" s="683"/>
      <c r="AK35" s="683"/>
      <c r="AL35" s="683"/>
      <c r="AM35" s="683"/>
      <c r="AN35" s="683"/>
      <c r="AO35" s="683"/>
      <c r="AP35" s="683"/>
      <c r="AQ35" s="683"/>
      <c r="AR35" s="683"/>
      <c r="AS35" s="683"/>
      <c r="AT35" s="683"/>
      <c r="AU35" s="683"/>
      <c r="AV35" s="683"/>
      <c r="AW35" s="683"/>
      <c r="AX35" s="683"/>
      <c r="AY35" s="683"/>
      <c r="AZ35" s="683"/>
      <c r="BA35" s="683"/>
      <c r="BB35" s="870"/>
    </row>
    <row s="32230" customFormat="1" customHeight="1" ht="18.75" hidden="1">
      <c r="A36" s="1734"/>
      <c r="B36" s="1734"/>
      <c r="C36" s="1734"/>
      <c r="D36" s="1734"/>
      <c r="E36" s="1734"/>
      <c r="F36" s="1734"/>
      <c r="G36" s="1734"/>
      <c r="H36" s="1734"/>
      <c r="I36" s="1734"/>
      <c r="J36" s="1734"/>
      <c r="K36" s="1734"/>
      <c r="L36" s="1735"/>
      <c r="M36" s="1734"/>
      <c r="N36" s="1734"/>
      <c r="O36" s="1734"/>
      <c r="P36" s="1734"/>
      <c r="Q36" s="1734"/>
      <c r="S36" s="2518" t="s">
        <v>462</v>
      </c>
      <c r="T36" s="2518"/>
      <c r="U36" s="1738"/>
      <c r="V36" s="2519" t="str">
        <f>IF(TITLE_DATE_PR_CHANGE="",IF(TITLE_DATE_PR="","",TITLE_DATE_PR),TITLE_DATE_PR_CHANGE)</f>
        <v>45280</v>
      </c>
      <c r="W36" s="2519"/>
      <c r="X36" s="2519"/>
      <c r="Y36" s="2519"/>
      <c r="Z36" s="2519"/>
      <c r="AA36" s="2519"/>
      <c r="AB36" s="2519"/>
      <c r="AC36" s="687"/>
      <c r="AD36" s="2519" t="str">
        <f>IF(TITLE_DATE_PR_CHANGE="",IF(TITLE_DATE_PR="","",TITLE_DATE_PR),TITLE_DATE_PR_CHANGE)</f>
        <v>45280</v>
      </c>
      <c r="AE36" s="2519"/>
      <c r="AF36" s="2519"/>
      <c r="AG36" s="2519"/>
      <c r="AH36" s="2519"/>
      <c r="AI36" s="2519"/>
      <c r="AJ36" s="2519"/>
      <c r="AK36" s="2519"/>
      <c r="AL36" s="2519"/>
      <c r="AM36" s="2519"/>
      <c r="AN36" s="2519"/>
      <c r="AO36" s="2519"/>
      <c r="AP36" s="2519"/>
      <c r="AQ36" s="2519"/>
      <c r="AR36" s="2519"/>
      <c r="AS36" s="2519"/>
      <c r="AT36" s="2519"/>
      <c r="AU36" s="2519"/>
      <c r="AV36" s="2519"/>
      <c r="AW36" s="2519"/>
      <c r="AX36" s="2519"/>
      <c r="AY36" s="2519"/>
      <c r="AZ36" s="2519"/>
      <c r="BA36" s="687"/>
      <c r="BB36" s="687"/>
      <c r="BC36" s="641"/>
      <c r="BD36" s="729"/>
      <c r="BE36" s="729"/>
      <c r="BF36" s="729"/>
      <c r="BG36" s="729"/>
      <c r="BH36" s="729"/>
    </row>
    <row s="32230" customFormat="1" customHeight="1" ht="18.75" hidden="1">
      <c r="A37" s="1734"/>
      <c r="B37" s="1734"/>
      <c r="C37" s="1734"/>
      <c r="D37" s="1734"/>
      <c r="E37" s="1734"/>
      <c r="F37" s="1734"/>
      <c r="G37" s="1734"/>
      <c r="H37" s="1734"/>
      <c r="I37" s="1734"/>
      <c r="J37" s="1734"/>
      <c r="K37" s="1734"/>
      <c r="L37" s="1735"/>
      <c r="M37" s="1734"/>
      <c r="N37" s="1734"/>
      <c r="O37" s="1734"/>
      <c r="P37" s="1734"/>
      <c r="Q37" s="1734"/>
      <c r="S37" s="2518" t="s">
        <v>463</v>
      </c>
      <c r="T37" s="2518"/>
      <c r="U37" s="1738"/>
      <c r="V37" s="2520" t="str">
        <f>IF(TITLE_NUMBER_PR_CHANGE="",IF(TITLE_NUMBER_PR="","",TITLE_NUMBER_PR),TITLE_NUMBER_PR_CHANGE)</f>
        <v>51/16</v>
      </c>
      <c r="W37" s="2520"/>
      <c r="X37" s="2520"/>
      <c r="Y37" s="2520"/>
      <c r="Z37" s="2520"/>
      <c r="AA37" s="2520"/>
      <c r="AB37" s="2520"/>
      <c r="AC37" s="687"/>
      <c r="AD37" s="2520" t="str">
        <f>IF(TITLE_NUMBER_PR_CHANGE="",IF(TITLE_NUMBER_PR="","",TITLE_NUMBER_PR),TITLE_NUMBER_PR_CHANGE)</f>
        <v>51/16</v>
      </c>
      <c r="AE37" s="2520"/>
      <c r="AF37" s="2520"/>
      <c r="AG37" s="2520"/>
      <c r="AH37" s="2520"/>
      <c r="AI37" s="2520"/>
      <c r="AJ37" s="2520"/>
      <c r="AK37" s="2520"/>
      <c r="AL37" s="2520"/>
      <c r="AM37" s="2520"/>
      <c r="AN37" s="2520"/>
      <c r="AO37" s="2520"/>
      <c r="AP37" s="2520"/>
      <c r="AQ37" s="2520"/>
      <c r="AR37" s="2520"/>
      <c r="AS37" s="2520"/>
      <c r="AT37" s="2520"/>
      <c r="AU37" s="2520"/>
      <c r="AV37" s="2520"/>
      <c r="AW37" s="2520"/>
      <c r="AX37" s="2520"/>
      <c r="AY37" s="2520"/>
      <c r="AZ37" s="2520"/>
      <c r="BA37" s="687"/>
      <c r="BB37" s="687"/>
      <c r="BC37" s="641"/>
      <c r="BD37" s="729"/>
      <c r="BE37" s="729"/>
      <c r="BF37" s="729"/>
      <c r="BG37" s="729"/>
      <c r="BH37" s="729"/>
    </row>
    <row s="32230" customFormat="1" customHeight="1" ht="0">
      <c r="A38" s="1734"/>
      <c r="B38" s="1734"/>
      <c r="C38" s="1734"/>
      <c r="D38" s="1734"/>
      <c r="E38" s="1734"/>
      <c r="F38" s="1734"/>
      <c r="G38" s="1734"/>
      <c r="H38" s="1734"/>
      <c r="I38" s="1734"/>
      <c r="J38" s="1734"/>
      <c r="K38" s="1734"/>
      <c r="L38" s="1735"/>
      <c r="M38" s="1734"/>
      <c r="N38" s="1734"/>
      <c r="O38" s="1734"/>
      <c r="P38" s="1734"/>
      <c r="Q38" s="1734"/>
      <c r="S38" s="684"/>
      <c r="T38" s="684"/>
      <c r="U38" s="1854"/>
      <c r="V38" s="687"/>
      <c r="W38" s="687"/>
      <c r="X38" s="687"/>
      <c r="Y38" s="687"/>
      <c r="Z38" s="687"/>
      <c r="AA38" s="687"/>
      <c r="AB38" s="687"/>
      <c r="AC38" s="639" t="s">
        <v>466</v>
      </c>
      <c r="AD38" s="687"/>
      <c r="AE38" s="687"/>
      <c r="AF38" s="687"/>
      <c r="AG38" s="687"/>
      <c r="AH38" s="687"/>
      <c r="AI38" s="687"/>
      <c r="AJ38" s="687"/>
      <c r="AK38" s="687"/>
      <c r="AL38" s="687"/>
      <c r="AM38" s="687"/>
      <c r="AN38" s="687"/>
      <c r="AO38" s="687"/>
      <c r="AP38" s="687"/>
      <c r="AQ38" s="687"/>
      <c r="AR38" s="687"/>
      <c r="AS38" s="687"/>
      <c r="AT38" s="687"/>
      <c r="AU38" s="687"/>
      <c r="AV38" s="687"/>
      <c r="AW38" s="687"/>
      <c r="AX38" s="687"/>
      <c r="AY38" s="687"/>
      <c r="AZ38" s="687"/>
      <c r="BA38" s="639" t="s">
        <v>466</v>
      </c>
      <c r="BD38" s="729"/>
      <c r="BE38" s="729"/>
      <c r="BF38" s="729"/>
      <c r="BG38" s="729"/>
      <c r="BH38" s="729"/>
    </row>
    <row customHeight="1" ht="14.25">
      <c r="Q39" s="652"/>
      <c r="R39" s="737"/>
      <c r="S39" s="1641"/>
      <c r="T39" s="724"/>
      <c r="U39" s="1609"/>
      <c r="V39" s="2544"/>
      <c r="W39" s="2544"/>
      <c r="X39" s="2544"/>
      <c r="Y39" s="2544"/>
      <c r="Z39" s="2544"/>
      <c r="AA39" s="2544"/>
      <c r="AB39" s="2544"/>
      <c r="AC39" s="2544"/>
      <c r="AD39" s="2544"/>
      <c r="AE39" s="2544"/>
      <c r="AF39" s="2544"/>
      <c r="AG39" s="2544"/>
      <c r="AH39" s="2544"/>
      <c r="AI39" s="2544"/>
      <c r="AJ39" s="2544"/>
      <c r="AK39" s="2544"/>
      <c r="AL39" s="2544"/>
      <c r="AM39" s="2544"/>
      <c r="AN39" s="2544"/>
      <c r="AO39" s="2544"/>
      <c r="AP39" s="2544"/>
      <c r="AQ39" s="2544"/>
      <c r="AR39" s="2544"/>
      <c r="AS39" s="2544"/>
      <c r="AT39" s="2544"/>
      <c r="AU39" s="2544"/>
      <c r="AV39" s="2544"/>
      <c r="AW39" s="2544"/>
      <c r="AX39" s="2544"/>
      <c r="AY39" s="2544"/>
      <c r="AZ39" s="2544"/>
      <c r="BA39" s="2544"/>
    </row>
    <row customHeight="1" ht="14.25">
      <c r="Q40" s="652"/>
      <c r="R40" s="737"/>
      <c r="S40" s="2392" t="s">
        <v>341</v>
      </c>
      <c r="T40" s="2392"/>
      <c r="U40" s="2392"/>
      <c r="V40" s="2392"/>
      <c r="W40" s="2392"/>
      <c r="X40" s="2392"/>
      <c r="Y40" s="2392"/>
      <c r="Z40" s="2392"/>
      <c r="AA40" s="2392"/>
      <c r="AB40" s="2392"/>
      <c r="AC40" s="2392"/>
      <c r="AD40" s="2392"/>
      <c r="AE40" s="2392"/>
      <c r="AF40" s="2392"/>
      <c r="AG40" s="2392"/>
      <c r="AH40" s="2392"/>
      <c r="AI40" s="2392"/>
      <c r="AJ40" s="2392"/>
      <c r="AK40" s="2392"/>
      <c r="AL40" s="2392"/>
      <c r="AM40" s="2392"/>
      <c r="AN40" s="2392"/>
      <c r="AO40" s="2392"/>
      <c r="AP40" s="2392"/>
      <c r="AQ40" s="2392"/>
      <c r="AR40" s="2392"/>
      <c r="AS40" s="2392"/>
      <c r="AT40" s="2392"/>
      <c r="AU40" s="2392"/>
      <c r="AV40" s="2392"/>
      <c r="AW40" s="2392"/>
      <c r="AX40" s="2392"/>
      <c r="AY40" s="2392"/>
      <c r="AZ40" s="2392"/>
      <c r="BA40" s="2392"/>
      <c r="BB40" s="2392"/>
      <c r="BC40" s="2392" t="s">
        <v>342</v>
      </c>
    </row>
    <row customHeight="1" ht="14.25">
      <c r="Q41" s="652"/>
      <c r="R41" s="737"/>
      <c r="S41" s="2545" t="s">
        <v>87</v>
      </c>
      <c r="T41" s="2482" t="s">
        <v>546</v>
      </c>
      <c r="U41" s="662"/>
      <c r="V41" s="2546" t="s">
        <v>468</v>
      </c>
      <c r="W41" s="2547"/>
      <c r="X41" s="2547"/>
      <c r="Y41" s="2547"/>
      <c r="Z41" s="2547"/>
      <c r="AA41" s="2547"/>
      <c r="AB41" s="2548"/>
      <c r="AC41" s="2549" t="s">
        <v>469</v>
      </c>
      <c r="AD41" s="2593" t="s">
        <v>563</v>
      </c>
      <c r="AE41" s="2568"/>
      <c r="AF41" s="2568"/>
      <c r="AG41" s="2594"/>
      <c r="AH41" s="2593" t="s">
        <v>564</v>
      </c>
      <c r="AI41" s="2568"/>
      <c r="AJ41" s="2568"/>
      <c r="AK41" s="2594"/>
      <c r="AL41" s="2593" t="s">
        <v>565</v>
      </c>
      <c r="AM41" s="2568"/>
      <c r="AN41" s="2568"/>
      <c r="AO41" s="2594"/>
      <c r="AP41" s="2593" t="s">
        <v>550</v>
      </c>
      <c r="AQ41" s="2568"/>
      <c r="AR41" s="2568"/>
      <c r="AS41" s="2594"/>
      <c r="AT41" s="2546" t="s">
        <v>468</v>
      </c>
      <c r="AU41" s="2547"/>
      <c r="AV41" s="2547"/>
      <c r="AW41" s="2547"/>
      <c r="AX41" s="2547"/>
      <c r="AY41" s="2547"/>
      <c r="AZ41" s="2548"/>
      <c r="BA41" s="2549" t="s">
        <v>469</v>
      </c>
      <c r="BB41" s="2552" t="s">
        <v>471</v>
      </c>
      <c r="BC41" s="2392"/>
    </row>
    <row customHeight="1" ht="33.75">
      <c r="Q42" s="652"/>
      <c r="R42" s="737"/>
      <c r="S42" s="2545"/>
      <c r="T42" s="2482"/>
      <c r="U42" s="1393"/>
      <c r="V42" s="2450" t="s">
        <v>551</v>
      </c>
      <c r="W42" s="2451"/>
      <c r="X42" s="2450" t="s">
        <v>552</v>
      </c>
      <c r="Y42" s="2451"/>
      <c r="Z42" s="2566" t="s">
        <v>553</v>
      </c>
      <c r="AA42" s="2584"/>
      <c r="AB42" s="2585"/>
      <c r="AC42" s="2550"/>
      <c r="AD42" s="2595"/>
      <c r="AE42" s="2596"/>
      <c r="AF42" s="2596"/>
      <c r="AG42" s="2608"/>
      <c r="AH42" s="2595"/>
      <c r="AI42" s="2596"/>
      <c r="AJ42" s="2596"/>
      <c r="AK42" s="2608"/>
      <c r="AL42" s="2595"/>
      <c r="AM42" s="2596"/>
      <c r="AN42" s="2596"/>
      <c r="AO42" s="2608"/>
      <c r="AP42" s="2595"/>
      <c r="AQ42" s="2596"/>
      <c r="AR42" s="2596"/>
      <c r="AS42" s="2608"/>
      <c r="AT42" s="2450" t="s">
        <v>566</v>
      </c>
      <c r="AU42" s="2451"/>
      <c r="AV42" s="2450" t="s">
        <v>567</v>
      </c>
      <c r="AW42" s="2451"/>
      <c r="AX42" s="2566" t="s">
        <v>553</v>
      </c>
      <c r="AY42" s="2584"/>
      <c r="AZ42" s="2585"/>
      <c r="BA42" s="2550"/>
      <c r="BB42" s="2553"/>
      <c r="BC42" s="2392"/>
    </row>
    <row customHeight="1" ht="14.25">
      <c r="Q43" s="652"/>
      <c r="R43" s="737"/>
      <c r="S43" s="2545"/>
      <c r="T43" s="2482"/>
      <c r="U43" s="1393"/>
      <c r="V43" s="2458"/>
      <c r="W43" s="2459"/>
      <c r="X43" s="2458"/>
      <c r="Y43" s="2459"/>
      <c r="Z43" s="2567"/>
      <c r="AA43" s="2586"/>
      <c r="AB43" s="2587"/>
      <c r="AC43" s="2550"/>
      <c r="AD43" s="2595"/>
      <c r="AE43" s="2596"/>
      <c r="AF43" s="2596"/>
      <c r="AG43" s="2608"/>
      <c r="AH43" s="2595"/>
      <c r="AI43" s="2596"/>
      <c r="AJ43" s="2596"/>
      <c r="AK43" s="2608"/>
      <c r="AL43" s="2595"/>
      <c r="AM43" s="2596"/>
      <c r="AN43" s="2596"/>
      <c r="AO43" s="2608"/>
      <c r="AP43" s="2595"/>
      <c r="AQ43" s="2596"/>
      <c r="AR43" s="2596"/>
      <c r="AS43" s="2608"/>
      <c r="AT43" s="2458"/>
      <c r="AU43" s="2459"/>
      <c r="AV43" s="2458"/>
      <c r="AW43" s="2459"/>
      <c r="AX43" s="2567"/>
      <c r="AY43" s="2586"/>
      <c r="AZ43" s="2587"/>
      <c r="BA43" s="2550"/>
      <c r="BB43" s="2553"/>
      <c r="BC43" s="2392"/>
    </row>
    <row customHeight="1" ht="14.25">
      <c r="A44" s="1736"/>
      <c r="B44" s="1736" t="s">
        <v>143</v>
      </c>
      <c r="C44" s="1736" t="s">
        <v>144</v>
      </c>
      <c r="D44" s="1736" t="s">
        <v>145</v>
      </c>
      <c r="E44" s="1730" t="s">
        <v>476</v>
      </c>
      <c r="F44" s="1730" t="s">
        <v>477</v>
      </c>
      <c r="G44" s="1730" t="s">
        <v>478</v>
      </c>
      <c r="H44" s="1730" t="s">
        <v>479</v>
      </c>
      <c r="I44" s="1730" t="s">
        <v>480</v>
      </c>
      <c r="J44" s="1730" t="s">
        <v>481</v>
      </c>
      <c r="K44" s="1730" t="s">
        <v>482</v>
      </c>
      <c r="L44" s="1730" t="s">
        <v>457</v>
      </c>
      <c r="Q44" s="652"/>
      <c r="R44" s="737"/>
      <c r="S44" s="2545"/>
      <c r="T44" s="2482"/>
      <c r="U44" s="663"/>
      <c r="V44" s="1845" t="s">
        <v>517</v>
      </c>
      <c r="W44" s="1845" t="s">
        <v>518</v>
      </c>
      <c r="X44" s="1845" t="s">
        <v>517</v>
      </c>
      <c r="Y44" s="1845" t="s">
        <v>518</v>
      </c>
      <c r="Z44" s="1855" t="s">
        <v>485</v>
      </c>
      <c r="AA44" s="2541" t="s">
        <v>486</v>
      </c>
      <c r="AB44" s="2542"/>
      <c r="AC44" s="2551"/>
      <c r="AD44" s="2597"/>
      <c r="AE44" s="2598"/>
      <c r="AF44" s="2598"/>
      <c r="AG44" s="2599"/>
      <c r="AH44" s="2597"/>
      <c r="AI44" s="2598"/>
      <c r="AJ44" s="2598"/>
      <c r="AK44" s="2599"/>
      <c r="AL44" s="2597"/>
      <c r="AM44" s="2598"/>
      <c r="AN44" s="2598"/>
      <c r="AO44" s="2599"/>
      <c r="AP44" s="2597"/>
      <c r="AQ44" s="2598"/>
      <c r="AR44" s="2598"/>
      <c r="AS44" s="2599"/>
      <c r="AT44" s="1845" t="s">
        <v>517</v>
      </c>
      <c r="AU44" s="1845" t="s">
        <v>518</v>
      </c>
      <c r="AV44" s="1845" t="s">
        <v>517</v>
      </c>
      <c r="AW44" s="1845" t="s">
        <v>518</v>
      </c>
      <c r="AX44" s="1855" t="s">
        <v>485</v>
      </c>
      <c r="AY44" s="2541" t="s">
        <v>486</v>
      </c>
      <c r="AZ44" s="2542"/>
      <c r="BA44" s="2551"/>
      <c r="BB44" s="2554"/>
      <c r="BC44" s="2392"/>
    </row>
    <row s="32049" customFormat="1" customHeight="1" ht="11.25" hidden="1">
      <c r="A45" s="1736"/>
      <c r="B45" s="1736"/>
      <c r="C45" s="1736"/>
      <c r="D45" s="1736"/>
      <c r="E45" s="1736"/>
      <c r="F45" s="1736"/>
      <c r="G45" s="1736"/>
      <c r="H45" s="1736"/>
      <c r="I45" s="1736"/>
      <c r="J45" s="1736"/>
      <c r="K45" s="1736"/>
      <c r="L45" s="1730"/>
      <c r="M45" s="1728"/>
      <c r="N45" s="1728"/>
      <c r="O45" s="1728"/>
      <c r="P45" s="871"/>
      <c r="Q45" s="1619"/>
      <c r="R45" s="1619">
        <v>1</v>
      </c>
      <c r="S45" s="1643" t="s">
        <v>118</v>
      </c>
      <c r="T45" s="1620" t="s">
        <v>102</v>
      </c>
      <c r="U45" s="1610" t="str">
        <f>OFFSET(U45,0,-1)</f>
        <v>2</v>
      </c>
      <c r="V45" s="1848">
        <f>OFFSET(V45,0,-1)+1</f>
        <v>3</v>
      </c>
      <c r="W45" s="1848">
        <f>OFFSET(W45,0,-1)+1</f>
        <v>4</v>
      </c>
      <c r="X45" s="1848">
        <f>OFFSET(X45,0,-1)+1</f>
        <v>5</v>
      </c>
      <c r="Y45" s="1848">
        <f>OFFSET(Y45,0,-1)+1</f>
        <v>6</v>
      </c>
      <c r="Z45" s="1848">
        <f>OFFSET(Z45,0,-1)+1</f>
        <v>7</v>
      </c>
      <c r="AA45" s="2543">
        <f>OFFSET(AA45,0,-1)+1</f>
        <v>8</v>
      </c>
      <c r="AB45" s="2543"/>
      <c r="AC45" s="1848">
        <f>OFFSET(AC45,0,-2)+1</f>
        <v>9</v>
      </c>
      <c r="AD45" s="1848">
        <f>OFFSET(AD45,0,-1)+1</f>
        <v>10</v>
      </c>
      <c r="AE45" s="1848"/>
      <c r="AF45" s="1848"/>
      <c r="AG45" s="1848"/>
      <c r="AH45" s="1848"/>
      <c r="AI45" s="1848"/>
      <c r="AJ45" s="1848"/>
      <c r="AK45" s="1848"/>
      <c r="AL45" s="1848"/>
      <c r="AM45" s="1848"/>
      <c r="AN45" s="1848"/>
      <c r="AO45" s="1848"/>
      <c r="AP45" s="1848"/>
      <c r="AQ45" s="1848"/>
      <c r="AR45" s="1848"/>
      <c r="AS45" s="1848"/>
      <c r="AT45" s="1848"/>
      <c r="AU45" s="1848"/>
      <c r="AV45" s="1848"/>
      <c r="AW45" s="1848">
        <f>OFFSET(AW45,0,-1)+1</f>
        <v>1</v>
      </c>
      <c r="AX45" s="1848">
        <f>OFFSET(AX45,0,-1)+1</f>
        <v>2</v>
      </c>
      <c r="AY45" s="2543">
        <f>OFFSET(AY45,0,-1)+1</f>
        <v>3</v>
      </c>
      <c r="AZ45" s="2543"/>
      <c r="BA45" s="1848">
        <f>OFFSET(BA45,0,-2)+1</f>
        <v>4</v>
      </c>
      <c r="BB45" s="1610">
        <f>OFFSET(BB45,0,-1)</f>
        <v>4</v>
      </c>
      <c r="BC45" s="1848">
        <f>OFFSET(BC45,0,-1)+1</f>
        <v>5</v>
      </c>
      <c r="BD45" s="872"/>
      <c r="BE45" s="872"/>
      <c r="BF45" s="872"/>
      <c r="BG45" s="872"/>
      <c r="BH45" s="872"/>
    </row>
    <row customHeight="1" ht="21">
      <c r="A46" s="1729" t="s">
        <v>317</v>
      </c>
      <c r="B46" s="1729"/>
      <c r="C46" s="1729"/>
      <c r="D46" s="1729"/>
      <c r="E46" s="2527">
        <v>1</v>
      </c>
      <c r="F46" s="1729"/>
      <c r="G46" s="1729"/>
      <c r="H46" s="1729"/>
      <c r="I46" s="1729"/>
      <c r="J46" s="1729"/>
      <c r="K46" s="1729"/>
      <c r="L46" s="1730"/>
      <c r="M46" s="1731"/>
      <c r="N46" s="1731"/>
      <c r="O46" s="1731"/>
      <c r="P46" s="1775"/>
      <c r="Q46" s="1234"/>
      <c r="R46" s="716"/>
      <c r="S46" s="1859">
        <f>INDEX(PT_DIFFERENTIATION_NUM_NTAR,MATCH(A46,PT_DIFFERENTIATION_NTAR_ID,0))</f>
        <v>0</v>
      </c>
      <c r="T46" s="659" t="s">
        <v>131</v>
      </c>
      <c r="U46" s="661"/>
      <c r="V46" s="2522"/>
      <c r="W46" s="2522"/>
      <c r="X46" s="2522"/>
      <c r="Y46" s="2522"/>
      <c r="Z46" s="2522"/>
      <c r="AA46" s="2522"/>
      <c r="AB46" s="2522"/>
      <c r="AC46" s="2523"/>
      <c r="AD46" s="2521" t="str">
        <f>INDEX(PT_DIFFERENTIATION_NTAR,MATCH(A46,PT_DIFFERENTIATION_NTAR_ID,0))</f>
        <v/>
      </c>
      <c r="AE46" s="2522"/>
      <c r="AF46" s="2522"/>
      <c r="AG46" s="2522"/>
      <c r="AH46" s="2522"/>
      <c r="AI46" s="2522"/>
      <c r="AJ46" s="2522"/>
      <c r="AK46" s="2522"/>
      <c r="AL46" s="2522"/>
      <c r="AM46" s="2522"/>
      <c r="AN46" s="2522"/>
      <c r="AO46" s="2522"/>
      <c r="AP46" s="2522"/>
      <c r="AQ46" s="2522"/>
      <c r="AR46" s="2522"/>
      <c r="AS46" s="2522"/>
      <c r="AT46" s="2522"/>
      <c r="AU46" s="2522"/>
      <c r="AV46" s="2522"/>
      <c r="AW46" s="2522"/>
      <c r="AX46" s="2522"/>
      <c r="AY46" s="2522"/>
      <c r="AZ46" s="2522"/>
      <c r="BA46" s="2522"/>
      <c r="BB46" s="2523"/>
      <c r="BC46"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861"/>
      <c r="BF46" s="861" t="str">
        <f>IF(T46="","",T46)</f>
        <v>Наименование тарифа</v>
      </c>
      <c r="BG46" s="861"/>
      <c r="BH46" s="861"/>
    </row>
    <row customHeight="1" ht="21">
      <c r="A47" s="1729" t="s">
        <v>317</v>
      </c>
      <c r="B47" s="1729" t="s">
        <v>318</v>
      </c>
      <c r="C47" s="1729"/>
      <c r="D47" s="1729"/>
      <c r="E47" s="2528"/>
      <c r="F47" s="2527">
        <v>1</v>
      </c>
      <c r="G47" s="1729"/>
      <c r="H47" s="1729"/>
      <c r="I47" s="1729"/>
      <c r="J47" s="1729"/>
      <c r="K47" s="1729"/>
      <c r="L47" s="1730"/>
      <c r="M47" s="1731"/>
      <c r="N47" s="1731"/>
      <c r="O47" s="1731"/>
      <c r="P47" s="1776"/>
      <c r="Q47" s="1777"/>
      <c r="R47" s="714"/>
      <c r="S47" s="1859" t="str">
        <f>INDEX(PT_DIFFERENTIATION_NUM_TER,MATCH(B47,PT_DIFFERENTIATION_TER_ID,0))</f>
        <v>.</v>
      </c>
      <c r="T47" s="669" t="s">
        <v>438</v>
      </c>
      <c r="U47" s="661"/>
      <c r="V47" s="2522"/>
      <c r="W47" s="2522"/>
      <c r="X47" s="2522"/>
      <c r="Y47" s="2522"/>
      <c r="Z47" s="2522"/>
      <c r="AA47" s="2522"/>
      <c r="AB47" s="2522"/>
      <c r="AC47" s="2523"/>
      <c r="AD47" s="2521" t="str">
        <f>INDEX(PT_DIFFERENTIATION_TER,MATCH(B47,PT_DIFFERENTIATION_TER_ID,0))</f>
        <v/>
      </c>
      <c r="AE47" s="2522"/>
      <c r="AF47" s="2522"/>
      <c r="AG47" s="2522"/>
      <c r="AH47" s="2522"/>
      <c r="AI47" s="2522"/>
      <c r="AJ47" s="2522"/>
      <c r="AK47" s="2522"/>
      <c r="AL47" s="2522"/>
      <c r="AM47" s="2522"/>
      <c r="AN47" s="2522"/>
      <c r="AO47" s="2522"/>
      <c r="AP47" s="2522"/>
      <c r="AQ47" s="2522"/>
      <c r="AR47" s="2522"/>
      <c r="AS47" s="2522"/>
      <c r="AT47" s="2522"/>
      <c r="AU47" s="2522"/>
      <c r="AV47" s="2522"/>
      <c r="AW47" s="2522"/>
      <c r="AX47" s="2522"/>
      <c r="AY47" s="2522"/>
      <c r="AZ47" s="2522"/>
      <c r="BA47" s="2522"/>
      <c r="BB47" s="2523"/>
      <c r="BC47" s="1623" t="s">
        <v>439</v>
      </c>
      <c r="BE47" s="861"/>
      <c r="BF47" s="861" t="str">
        <f>IF(T47="","",T47)</f>
        <v>Территория действия тарифа</v>
      </c>
      <c r="BG47" s="861"/>
      <c r="BH47" s="861"/>
    </row>
    <row customHeight="1" ht="33.75">
      <c r="A48" s="1729" t="s">
        <v>317</v>
      </c>
      <c r="B48" s="1729" t="s">
        <v>318</v>
      </c>
      <c r="C48" s="1729" t="s">
        <v>319</v>
      </c>
      <c r="D48" s="1729"/>
      <c r="E48" s="2528"/>
      <c r="F48" s="2528"/>
      <c r="G48" s="2527">
        <v>1</v>
      </c>
      <c r="H48" s="1729"/>
      <c r="I48" s="1729"/>
      <c r="J48" s="1729"/>
      <c r="K48" s="1729"/>
      <c r="L48" s="1730"/>
      <c r="M48" s="1731"/>
      <c r="N48" s="1731"/>
      <c r="O48" s="1731"/>
      <c r="P48" s="1778"/>
      <c r="Q48" s="1777"/>
      <c r="R48" s="714"/>
      <c r="S48" s="1859" t="str">
        <f>INDEX(PT_DIFFERENTIATION_NUM_CS,MATCH(C48,PT_DIFFERENTIATION_CS_ID,0))</f>
        <v>..</v>
      </c>
      <c r="T48" s="670" t="s">
        <v>555</v>
      </c>
      <c r="U48" s="661"/>
      <c r="V48" s="2522"/>
      <c r="W48" s="2522"/>
      <c r="X48" s="2522"/>
      <c r="Y48" s="2522"/>
      <c r="Z48" s="2522"/>
      <c r="AA48" s="2522"/>
      <c r="AB48" s="2522"/>
      <c r="AC48" s="2523"/>
      <c r="AD48" s="2521" t="str">
        <f>INDEX(PT_DIFFERENTIATION_CS,MATCH(C48,PT_DIFFERENTIATION_CS_ID,0))</f>
        <v/>
      </c>
      <c r="AE48" s="2522"/>
      <c r="AF48" s="2522"/>
      <c r="AG48" s="2522"/>
      <c r="AH48" s="2522"/>
      <c r="AI48" s="2522"/>
      <c r="AJ48" s="2522"/>
      <c r="AK48" s="2522"/>
      <c r="AL48" s="2522"/>
      <c r="AM48" s="2522"/>
      <c r="AN48" s="2522"/>
      <c r="AO48" s="2522"/>
      <c r="AP48" s="2522"/>
      <c r="AQ48" s="2522"/>
      <c r="AR48" s="2522"/>
      <c r="AS48" s="2522"/>
      <c r="AT48" s="2522"/>
      <c r="AU48" s="2522"/>
      <c r="AV48" s="2522"/>
      <c r="AW48" s="2522"/>
      <c r="AX48" s="2522"/>
      <c r="AY48" s="2522"/>
      <c r="AZ48" s="2522"/>
      <c r="BA48" s="2522"/>
      <c r="BB48" s="2523"/>
      <c r="BC48" s="1623" t="s">
        <v>556</v>
      </c>
      <c r="BE48" s="861"/>
      <c r="BF48" s="861" t="str">
        <f>IF(T48="","",T48)</f>
        <v>Наименование централизованной системы водоотведения</v>
      </c>
      <c r="BG48" s="861"/>
      <c r="BH48" s="861"/>
    </row>
    <row s="32289" customFormat="1" customHeight="1" ht="0">
      <c r="A49" s="1709" t="s">
        <v>317</v>
      </c>
      <c r="B49" s="1709" t="s">
        <v>318</v>
      </c>
      <c r="C49" s="1709" t="s">
        <v>319</v>
      </c>
      <c r="D49" s="1709" t="s">
        <v>568</v>
      </c>
      <c r="E49" s="2528"/>
      <c r="F49" s="2528"/>
      <c r="G49" s="2528"/>
      <c r="H49" s="2527">
        <v>1</v>
      </c>
      <c r="I49" s="1709"/>
      <c r="J49" s="1709"/>
      <c r="K49" s="1709"/>
      <c r="L49" s="1712"/>
      <c r="M49" s="1681"/>
      <c r="N49" s="1681"/>
      <c r="O49" s="1681"/>
      <c r="P49" s="1863"/>
      <c r="Q49" s="1864"/>
      <c r="R49" s="718"/>
      <c r="S49" s="1404"/>
      <c r="T49" s="1865"/>
      <c r="U49" s="1750"/>
      <c r="V49" s="2570"/>
      <c r="W49" s="2570"/>
      <c r="X49" s="2570"/>
      <c r="Y49" s="2570"/>
      <c r="Z49" s="2570"/>
      <c r="AA49" s="2570"/>
      <c r="AB49" s="2570"/>
      <c r="AC49" s="2571"/>
      <c r="AD49" s="2569"/>
      <c r="AE49" s="2570"/>
      <c r="AF49" s="2570"/>
      <c r="AG49" s="2570"/>
      <c r="AH49" s="2570"/>
      <c r="AI49" s="2570"/>
      <c r="AJ49" s="2570"/>
      <c r="AK49" s="2570"/>
      <c r="AL49" s="2570"/>
      <c r="AM49" s="2570"/>
      <c r="AN49" s="2570"/>
      <c r="AO49" s="2570"/>
      <c r="AP49" s="2570"/>
      <c r="AQ49" s="2570"/>
      <c r="AR49" s="2570"/>
      <c r="AS49" s="2570"/>
      <c r="AT49" s="2570"/>
      <c r="AU49" s="2570"/>
      <c r="AV49" s="2570"/>
      <c r="AW49" s="2570"/>
      <c r="AX49" s="2570"/>
      <c r="AY49" s="2570"/>
      <c r="AZ49" s="2570"/>
      <c r="BA49" s="2570"/>
      <c r="BB49" s="2571"/>
      <c r="BC49" s="1751" t="s">
        <v>443</v>
      </c>
      <c r="BE49" s="861"/>
      <c r="BF49" s="861" t="str">
        <f>IF(T49="","",T49)</f>
        <v/>
      </c>
      <c r="BG49" s="861"/>
      <c r="BH49" s="861"/>
    </row>
    <row s="32289" customFormat="1" customHeight="1" ht="0">
      <c r="A50" s="1709" t="s">
        <v>317</v>
      </c>
      <c r="B50" s="1709" t="s">
        <v>318</v>
      </c>
      <c r="C50" s="1709" t="s">
        <v>319</v>
      </c>
      <c r="D50" s="1709" t="s">
        <v>568</v>
      </c>
      <c r="E50" s="2528"/>
      <c r="F50" s="2528"/>
      <c r="G50" s="2528"/>
      <c r="H50" s="2528"/>
      <c r="I50" s="2529" t="str">
        <f>S49&amp;".1"</f>
        <v>.1</v>
      </c>
      <c r="J50" s="1709"/>
      <c r="K50" s="1709"/>
      <c r="L50" s="1712" t="s">
        <v>444</v>
      </c>
      <c r="M50" s="871"/>
      <c r="N50" s="871"/>
      <c r="O50" s="871"/>
      <c r="P50" s="2531">
        <v>1</v>
      </c>
      <c r="Q50" s="1847"/>
      <c r="R50" s="717"/>
      <c r="S50" s="1404"/>
      <c r="T50" s="1749"/>
      <c r="U50" s="1750"/>
      <c r="V50" s="2570"/>
      <c r="W50" s="2570"/>
      <c r="X50" s="2570"/>
      <c r="Y50" s="2570"/>
      <c r="Z50" s="2570"/>
      <c r="AA50" s="2570"/>
      <c r="AB50" s="2570"/>
      <c r="AC50" s="2571"/>
      <c r="AD50" s="2569"/>
      <c r="AE50" s="2570"/>
      <c r="AF50" s="2570"/>
      <c r="AG50" s="2570"/>
      <c r="AH50" s="2570"/>
      <c r="AI50" s="2570"/>
      <c r="AJ50" s="2570"/>
      <c r="AK50" s="2570"/>
      <c r="AL50" s="2570"/>
      <c r="AM50" s="2570"/>
      <c r="AN50" s="2570"/>
      <c r="AO50" s="2570"/>
      <c r="AP50" s="2570"/>
      <c r="AQ50" s="2570"/>
      <c r="AR50" s="2570"/>
      <c r="AS50" s="2570"/>
      <c r="AT50" s="2570"/>
      <c r="AU50" s="2570"/>
      <c r="AV50" s="2570"/>
      <c r="AW50" s="2570"/>
      <c r="AX50" s="2570"/>
      <c r="AY50" s="2570"/>
      <c r="AZ50" s="2570"/>
      <c r="BA50" s="2570"/>
      <c r="BB50" s="2571"/>
      <c r="BC50" s="1751"/>
      <c r="BE50" s="861"/>
      <c r="BF50" s="861" t="str">
        <f>IF(T50="","",T50)</f>
        <v/>
      </c>
      <c r="BG50" s="861"/>
      <c r="BH50" s="861"/>
    </row>
    <row s="32289" customFormat="1" customHeight="1" ht="0">
      <c r="A51" s="1709" t="s">
        <v>317</v>
      </c>
      <c r="B51" s="1709" t="s">
        <v>318</v>
      </c>
      <c r="C51" s="1709" t="s">
        <v>319</v>
      </c>
      <c r="D51" s="1709" t="s">
        <v>568</v>
      </c>
      <c r="E51" s="2528"/>
      <c r="F51" s="2528"/>
      <c r="G51" s="2528"/>
      <c r="H51" s="2528"/>
      <c r="I51" s="2530"/>
      <c r="J51" s="2529" t="str">
        <f>S49&amp;".1"</f>
        <v>.1</v>
      </c>
      <c r="K51" s="1709"/>
      <c r="L51" s="1712"/>
      <c r="M51" s="871"/>
      <c r="N51" s="871"/>
      <c r="O51" s="871"/>
      <c r="P51" s="2531"/>
      <c r="Q51" s="2531">
        <v>1</v>
      </c>
      <c r="R51" s="718"/>
      <c r="S51" s="1404"/>
      <c r="T51" s="1765"/>
      <c r="U51" s="1750"/>
      <c r="V51" s="2570"/>
      <c r="W51" s="2570"/>
      <c r="X51" s="2570"/>
      <c r="Y51" s="2570"/>
      <c r="Z51" s="2570"/>
      <c r="AA51" s="2570"/>
      <c r="AB51" s="2570"/>
      <c r="AC51" s="2571"/>
      <c r="AD51" s="2569"/>
      <c r="AE51" s="2570"/>
      <c r="AF51" s="2570"/>
      <c r="AG51" s="2570"/>
      <c r="AH51" s="2570"/>
      <c r="AI51" s="2570"/>
      <c r="AJ51" s="2570"/>
      <c r="AK51" s="2570"/>
      <c r="AL51" s="2570"/>
      <c r="AM51" s="2570"/>
      <c r="AN51" s="2630"/>
      <c r="AO51" s="2630"/>
      <c r="AP51" s="2570"/>
      <c r="AQ51" s="2570"/>
      <c r="AR51" s="2570"/>
      <c r="AS51" s="2570"/>
      <c r="AT51" s="2570"/>
      <c r="AU51" s="2570"/>
      <c r="AV51" s="2570"/>
      <c r="AW51" s="2570"/>
      <c r="AX51" s="2570"/>
      <c r="AY51" s="2570"/>
      <c r="AZ51" s="2570"/>
      <c r="BA51" s="2570"/>
      <c r="BB51" s="2571"/>
      <c r="BC51" s="1751"/>
      <c r="BE51" s="861"/>
      <c r="BF51" s="861" t="str">
        <f>IF(T51="","",T51)</f>
        <v/>
      </c>
      <c r="BG51" s="861"/>
      <c r="BH51" s="861"/>
    </row>
    <row customHeight="1" ht="11.25">
      <c r="A52" s="1729" t="s">
        <v>317</v>
      </c>
      <c r="B52" s="1729" t="s">
        <v>318</v>
      </c>
      <c r="C52" s="1729" t="s">
        <v>319</v>
      </c>
      <c r="D52" s="1729" t="s">
        <v>568</v>
      </c>
      <c r="E52" s="2528"/>
      <c r="F52" s="2528"/>
      <c r="G52" s="2528"/>
      <c r="H52" s="2528"/>
      <c r="I52" s="2530"/>
      <c r="J52" s="2530"/>
      <c r="K52" s="2529" t="str">
        <f>S48&amp;".1"</f>
        <v>...1</v>
      </c>
      <c r="L52" s="1730"/>
      <c r="P52" s="2531"/>
      <c r="Q52" s="2531"/>
      <c r="R52" s="718">
        <v>1</v>
      </c>
      <c r="S52" s="2604" t="str">
        <f>$K52</f>
        <v>...1</v>
      </c>
      <c r="T52" s="2624"/>
      <c r="U52" s="661"/>
      <c r="V52" s="1112"/>
      <c r="W52" s="1622"/>
      <c r="X52" s="1112"/>
      <c r="Y52" s="1622"/>
      <c r="Z52" s="2100"/>
      <c r="AA52" s="1835" t="s">
        <v>66</v>
      </c>
      <c r="AB52" s="2100"/>
      <c r="AC52" s="1835" t="s">
        <v>66</v>
      </c>
      <c r="AD52" s="2465" t="s">
        <v>66</v>
      </c>
      <c r="AE52" s="2600"/>
      <c r="AF52" s="2478">
        <v>1</v>
      </c>
      <c r="AG52" s="2623"/>
      <c r="AH52" s="2402" t="s">
        <v>66</v>
      </c>
      <c r="AI52" s="2600"/>
      <c r="AJ52" s="2478">
        <v>1</v>
      </c>
      <c r="AK52" s="2622" t="s">
        <v>24</v>
      </c>
      <c r="AL52" s="2402" t="s">
        <v>66</v>
      </c>
      <c r="AM52" s="2450"/>
      <c r="AN52" s="2478">
        <v>1</v>
      </c>
      <c r="AO52" s="2627"/>
      <c r="AP52" s="2628" t="s">
        <v>66</v>
      </c>
      <c r="AQ52" s="672"/>
      <c r="AR52" s="1852">
        <v>1</v>
      </c>
      <c r="AS52" s="1858" t="s">
        <v>24</v>
      </c>
      <c r="AT52" s="1112"/>
      <c r="AU52" s="1622"/>
      <c r="AV52" s="1112"/>
      <c r="AW52" s="1622"/>
      <c r="AX52" s="2100"/>
      <c r="AY52" s="1835" t="s">
        <v>66</v>
      </c>
      <c r="AZ52" s="2100"/>
      <c r="BA52" s="1835" t="s">
        <v>66</v>
      </c>
      <c r="BB52" s="1714"/>
      <c r="BC52" s="2557" t="s">
        <v>540</v>
      </c>
      <c r="BE52" s="861"/>
      <c r="BF52" s="861" t="str">
        <f>IF(T52="","",T52)</f>
        <v/>
      </c>
      <c r="BG52" s="861"/>
      <c r="BH52" s="861"/>
    </row>
    <row customHeight="1" ht="11.25">
      <c r="A53" s="1729"/>
      <c r="B53" s="1729"/>
      <c r="C53" s="1729"/>
      <c r="D53" s="1729"/>
      <c r="E53" s="2528"/>
      <c r="F53" s="2528"/>
      <c r="G53" s="2528"/>
      <c r="H53" s="2528"/>
      <c r="I53" s="2530"/>
      <c r="J53" s="2530"/>
      <c r="K53" s="2529"/>
      <c r="L53" s="1730"/>
      <c r="P53" s="2531"/>
      <c r="Q53" s="2531"/>
      <c r="R53" s="718"/>
      <c r="S53" s="2605"/>
      <c r="T53" s="2625"/>
      <c r="U53" s="661"/>
      <c r="V53" s="1759"/>
      <c r="W53" s="1862"/>
      <c r="X53" s="1759"/>
      <c r="Y53" s="1862"/>
      <c r="Z53" s="1759"/>
      <c r="AA53" s="1759"/>
      <c r="AB53" s="1759"/>
      <c r="AC53" s="1759"/>
      <c r="AD53" s="2466"/>
      <c r="AE53" s="2600"/>
      <c r="AF53" s="2478"/>
      <c r="AG53" s="2623"/>
      <c r="AH53" s="2402"/>
      <c r="AI53" s="2600"/>
      <c r="AJ53" s="2478"/>
      <c r="AK53" s="2622"/>
      <c r="AL53" s="2402"/>
      <c r="AM53" s="2458"/>
      <c r="AN53" s="2478"/>
      <c r="AO53" s="2627"/>
      <c r="AP53" s="2629"/>
      <c r="AQ53" s="677"/>
      <c r="AR53" s="777"/>
      <c r="AS53" s="777" t="s">
        <v>541</v>
      </c>
      <c r="AT53" s="1759"/>
      <c r="AU53" s="1862"/>
      <c r="AV53" s="1759"/>
      <c r="AW53" s="1862"/>
      <c r="AX53" s="1759"/>
      <c r="AY53" s="1759"/>
      <c r="AZ53" s="1759"/>
      <c r="BA53" s="1759"/>
      <c r="BB53" s="1763"/>
      <c r="BC53" s="2558"/>
      <c r="BE53" s="861"/>
      <c r="BF53" s="861"/>
      <c r="BG53" s="861"/>
      <c r="BH53" s="861"/>
    </row>
    <row customHeight="1" ht="11.25">
      <c r="A54" s="1729" t="s">
        <v>317</v>
      </c>
      <c r="B54" s="1729"/>
      <c r="C54" s="1729"/>
      <c r="D54" s="1729"/>
      <c r="E54" s="2528"/>
      <c r="F54" s="2528"/>
      <c r="G54" s="2528"/>
      <c r="H54" s="2528"/>
      <c r="I54" s="2530"/>
      <c r="J54" s="2530"/>
      <c r="K54" s="2529"/>
      <c r="L54" s="1730"/>
      <c r="P54" s="2531"/>
      <c r="Q54" s="2531"/>
      <c r="R54" s="718"/>
      <c r="S54" s="2605"/>
      <c r="T54" s="2625"/>
      <c r="U54" s="661"/>
      <c r="V54" s="1759"/>
      <c r="W54" s="1862"/>
      <c r="X54" s="1759"/>
      <c r="Y54" s="1862"/>
      <c r="Z54" s="1759"/>
      <c r="AA54" s="1759"/>
      <c r="AB54" s="1759"/>
      <c r="AC54" s="1759"/>
      <c r="AD54" s="2466"/>
      <c r="AE54" s="2600"/>
      <c r="AF54" s="2478"/>
      <c r="AG54" s="2623"/>
      <c r="AH54" s="2402"/>
      <c r="AI54" s="2600"/>
      <c r="AJ54" s="2478"/>
      <c r="AK54" s="2622"/>
      <c r="AL54" s="2402"/>
      <c r="AM54" s="677"/>
      <c r="AN54" s="1866"/>
      <c r="AO54" s="1866" t="s">
        <v>561</v>
      </c>
      <c r="AP54" s="777"/>
      <c r="AQ54" s="777"/>
      <c r="AR54" s="777"/>
      <c r="AS54" s="1759"/>
      <c r="AT54" s="1759"/>
      <c r="AU54" s="1862"/>
      <c r="AV54" s="1759"/>
      <c r="AW54" s="1862"/>
      <c r="AX54" s="1759"/>
      <c r="AY54" s="1759"/>
      <c r="AZ54" s="1759"/>
      <c r="BA54" s="1759"/>
      <c r="BB54" s="1763"/>
      <c r="BC54" s="2558"/>
      <c r="BE54" s="861"/>
      <c r="BF54" s="861"/>
      <c r="BG54" s="861"/>
      <c r="BH54" s="861"/>
    </row>
    <row customHeight="1" ht="11.25">
      <c r="A55" s="1729" t="s">
        <v>317</v>
      </c>
      <c r="B55" s="1729"/>
      <c r="C55" s="1729"/>
      <c r="D55" s="1729"/>
      <c r="E55" s="2528"/>
      <c r="F55" s="2528"/>
      <c r="G55" s="2528"/>
      <c r="H55" s="2528"/>
      <c r="I55" s="2530"/>
      <c r="J55" s="2530"/>
      <c r="K55" s="2529"/>
      <c r="L55" s="1730"/>
      <c r="P55" s="2531"/>
      <c r="Q55" s="2531"/>
      <c r="R55" s="718"/>
      <c r="S55" s="2605"/>
      <c r="T55" s="2625"/>
      <c r="U55" s="661"/>
      <c r="V55" s="1759"/>
      <c r="W55" s="1862"/>
      <c r="X55" s="1759"/>
      <c r="Y55" s="1862"/>
      <c r="Z55" s="1759"/>
      <c r="AA55" s="1759"/>
      <c r="AB55" s="1759"/>
      <c r="AC55" s="1759"/>
      <c r="AD55" s="2466"/>
      <c r="AE55" s="2600"/>
      <c r="AF55" s="2478"/>
      <c r="AG55" s="2623"/>
      <c r="AH55" s="2402"/>
      <c r="AI55" s="655"/>
      <c r="AJ55" s="776"/>
      <c r="AK55" s="674" t="s">
        <v>562</v>
      </c>
      <c r="AL55" s="1759"/>
      <c r="AM55" s="1759"/>
      <c r="AN55" s="1759"/>
      <c r="AO55" s="1759"/>
      <c r="AP55" s="1759"/>
      <c r="AQ55" s="1759"/>
      <c r="AR55" s="1759"/>
      <c r="AS55" s="1759"/>
      <c r="AT55" s="1759"/>
      <c r="AU55" s="1862"/>
      <c r="AV55" s="1759"/>
      <c r="AW55" s="1862"/>
      <c r="AX55" s="1759"/>
      <c r="AY55" s="1759"/>
      <c r="AZ55" s="1759"/>
      <c r="BA55" s="1759"/>
      <c r="BB55" s="1763"/>
      <c r="BC55" s="2558"/>
      <c r="BE55" s="861"/>
      <c r="BF55" s="861"/>
      <c r="BG55" s="861"/>
      <c r="BH55" s="861"/>
    </row>
    <row customHeight="1" ht="11.25">
      <c r="A56" s="1729" t="s">
        <v>317</v>
      </c>
      <c r="B56" s="1729" t="s">
        <v>318</v>
      </c>
      <c r="C56" s="1729" t="s">
        <v>319</v>
      </c>
      <c r="D56" s="1729" t="s">
        <v>568</v>
      </c>
      <c r="E56" s="2528"/>
      <c r="F56" s="2528"/>
      <c r="G56" s="2528"/>
      <c r="H56" s="2528"/>
      <c r="I56" s="2530"/>
      <c r="J56" s="2530"/>
      <c r="K56" s="2529"/>
      <c r="L56" s="1730"/>
      <c r="P56" s="2531"/>
      <c r="Q56" s="2531"/>
      <c r="R56" s="718"/>
      <c r="S56" s="2606"/>
      <c r="T56" s="2626"/>
      <c r="U56" s="661"/>
      <c r="V56" s="1759"/>
      <c r="W56" s="1760" t="str">
        <f>Z52&amp;"-"&amp;AB52</f>
        <v>-</v>
      </c>
      <c r="X56" s="1759"/>
      <c r="Y56" s="1760" t="str">
        <f>AB52&amp;"-"&amp;AD52</f>
        <v>-да</v>
      </c>
      <c r="Z56" s="1759"/>
      <c r="AA56" s="1759"/>
      <c r="AB56" s="1759"/>
      <c r="AC56" s="1759"/>
      <c r="AD56" s="2407"/>
      <c r="AE56" s="673"/>
      <c r="AF56" s="675"/>
      <c r="AG56" s="777" t="s">
        <v>544</v>
      </c>
      <c r="AH56" s="1759"/>
      <c r="AI56" s="1759"/>
      <c r="AJ56" s="1759"/>
      <c r="AK56" s="1759"/>
      <c r="AL56" s="1759"/>
      <c r="AM56" s="1759"/>
      <c r="AN56" s="1759"/>
      <c r="AO56" s="1759"/>
      <c r="AP56" s="1759"/>
      <c r="AQ56" s="1759"/>
      <c r="AR56" s="1759"/>
      <c r="AS56" s="1759"/>
      <c r="AT56" s="1759"/>
      <c r="AU56" s="1760" t="str">
        <f>AX52&amp;"-"&amp;AZ52</f>
        <v>-</v>
      </c>
      <c r="AV56" s="1759"/>
      <c r="AW56" s="1760" t="str">
        <f>AZ52&amp;"-"&amp;BB52</f>
        <v>-</v>
      </c>
      <c r="AX56" s="1759"/>
      <c r="AY56" s="1759"/>
      <c r="AZ56" s="1759"/>
      <c r="BA56" s="1759"/>
      <c r="BB56" s="1762" t="str">
        <f>BE52&amp;"-"&amp;BG52</f>
        <v>-</v>
      </c>
      <c r="BC56" s="2558"/>
      <c r="BE56" s="861"/>
      <c r="BF56" s="861" t="str">
        <f>IF(T56="","",T56)</f>
        <v/>
      </c>
      <c r="BG56" s="861"/>
      <c r="BH56" s="861"/>
    </row>
    <row customHeight="1" ht="11.25">
      <c r="A57" s="1729" t="s">
        <v>317</v>
      </c>
      <c r="B57" s="1729" t="s">
        <v>318</v>
      </c>
      <c r="C57" s="1729" t="s">
        <v>319</v>
      </c>
      <c r="D57" s="1729" t="s">
        <v>568</v>
      </c>
      <c r="E57" s="2528"/>
      <c r="F57" s="2528"/>
      <c r="G57" s="2528"/>
      <c r="H57" s="2528"/>
      <c r="I57" s="2530"/>
      <c r="J57" s="2529"/>
      <c r="K57" s="1729"/>
      <c r="L57" s="1730"/>
      <c r="P57" s="2531"/>
      <c r="Q57" s="2531"/>
      <c r="R57" s="717"/>
      <c r="S57" s="1644"/>
      <c r="T57" s="648" t="s">
        <v>506</v>
      </c>
      <c r="U57" s="728"/>
      <c r="V57" s="728"/>
      <c r="W57" s="728"/>
      <c r="X57" s="728"/>
      <c r="Y57" s="728"/>
      <c r="Z57" s="728"/>
      <c r="AA57" s="728"/>
      <c r="AB57" s="728"/>
      <c r="AC57" s="685"/>
      <c r="AD57" s="1871"/>
      <c r="AE57" s="728"/>
      <c r="AF57" s="728"/>
      <c r="AG57" s="728"/>
      <c r="AH57" s="728"/>
      <c r="AI57" s="728"/>
      <c r="AJ57" s="728"/>
      <c r="AK57" s="728"/>
      <c r="AL57" s="728"/>
      <c r="AM57" s="728"/>
      <c r="AN57" s="728"/>
      <c r="AO57" s="728"/>
      <c r="AP57" s="728"/>
      <c r="AQ57" s="728"/>
      <c r="AR57" s="728"/>
      <c r="AS57" s="728"/>
      <c r="AT57" s="728"/>
      <c r="AU57" s="728"/>
      <c r="AV57" s="728"/>
      <c r="AW57" s="728"/>
      <c r="AX57" s="728"/>
      <c r="AY57" s="728"/>
      <c r="AZ57" s="728"/>
      <c r="BA57" s="728"/>
      <c r="BB57" s="685"/>
      <c r="BC57" s="2559"/>
      <c r="BE57" s="861"/>
      <c r="BF57" s="861" t="str">
        <f>IF(T57="","",T57)</f>
        <v>Добавить строку</v>
      </c>
      <c r="BG57" s="861"/>
      <c r="BH57" s="861"/>
    </row>
    <row s="32289" customFormat="1" customHeight="1" ht="0">
      <c r="A58" s="1709" t="s">
        <v>317</v>
      </c>
      <c r="B58" s="1709" t="s">
        <v>318</v>
      </c>
      <c r="C58" s="1709" t="s">
        <v>319</v>
      </c>
      <c r="D58" s="1709" t="s">
        <v>568</v>
      </c>
      <c r="E58" s="2528"/>
      <c r="F58" s="2528"/>
      <c r="G58" s="2528"/>
      <c r="H58" s="2528"/>
      <c r="I58" s="2529"/>
      <c r="J58" s="1709"/>
      <c r="K58" s="1709"/>
      <c r="L58" s="1712"/>
      <c r="M58" s="871"/>
      <c r="N58" s="871"/>
      <c r="O58" s="871"/>
      <c r="P58" s="2531"/>
      <c r="Q58" s="1847"/>
      <c r="R58" s="717"/>
      <c r="S58" s="1752"/>
      <c r="T58" s="1753"/>
      <c r="U58" s="1754"/>
      <c r="V58" s="1754"/>
      <c r="W58" s="1754"/>
      <c r="X58" s="1754"/>
      <c r="Y58" s="1754"/>
      <c r="Z58" s="1754"/>
      <c r="AA58" s="1754"/>
      <c r="AB58" s="1754"/>
      <c r="AC58" s="1754"/>
      <c r="AD58" s="1754"/>
      <c r="AE58" s="1754"/>
      <c r="AF58" s="1754"/>
      <c r="AG58" s="1754"/>
      <c r="AH58" s="1754"/>
      <c r="AI58" s="1754"/>
      <c r="AJ58" s="1754"/>
      <c r="AK58" s="1754"/>
      <c r="AL58" s="1754"/>
      <c r="AM58" s="1754"/>
      <c r="AN58" s="1754"/>
      <c r="AO58" s="1754"/>
      <c r="AP58" s="1754"/>
      <c r="AQ58" s="1754"/>
      <c r="AR58" s="1754"/>
      <c r="AS58" s="1754"/>
      <c r="AT58" s="1754"/>
      <c r="AU58" s="1754"/>
      <c r="AV58" s="1754"/>
      <c r="AW58" s="1754"/>
      <c r="AX58" s="1754"/>
      <c r="AY58" s="1754"/>
      <c r="AZ58" s="1754"/>
      <c r="BA58" s="1754"/>
      <c r="BB58" s="1754"/>
      <c r="BC58" s="1755"/>
      <c r="BE58" s="861"/>
      <c r="BF58" s="861" t="str">
        <f>IF(T58="","",T58)</f>
        <v/>
      </c>
      <c r="BG58" s="861"/>
      <c r="BH58" s="861"/>
    </row>
    <row s="32289" customFormat="1" customHeight="1" ht="0">
      <c r="A59" s="1709" t="s">
        <v>317</v>
      </c>
      <c r="B59" s="1709" t="s">
        <v>318</v>
      </c>
      <c r="C59" s="1709" t="s">
        <v>319</v>
      </c>
      <c r="D59" s="1709" t="s">
        <v>568</v>
      </c>
      <c r="E59" s="2528"/>
      <c r="F59" s="2528"/>
      <c r="G59" s="2528"/>
      <c r="H59" s="2527"/>
      <c r="I59" s="1709"/>
      <c r="J59" s="1709"/>
      <c r="K59" s="1709"/>
      <c r="L59" s="1712"/>
      <c r="M59" s="1681"/>
      <c r="N59" s="1681"/>
      <c r="O59" s="879"/>
      <c r="P59" s="741"/>
      <c r="Q59" s="1710"/>
      <c r="R59" s="1767"/>
      <c r="S59" s="1752"/>
      <c r="T59" s="1753"/>
      <c r="U59" s="1754"/>
      <c r="V59" s="1754"/>
      <c r="W59" s="1754"/>
      <c r="X59" s="1754"/>
      <c r="Y59" s="1754"/>
      <c r="Z59" s="1754"/>
      <c r="AA59" s="1754"/>
      <c r="AB59" s="1754"/>
      <c r="AC59" s="1754"/>
      <c r="AD59" s="1754"/>
      <c r="AE59" s="1754"/>
      <c r="AF59" s="1754"/>
      <c r="AG59" s="1754"/>
      <c r="AH59" s="1754"/>
      <c r="AI59" s="1754"/>
      <c r="AJ59" s="1754"/>
      <c r="AK59" s="1754"/>
      <c r="AL59" s="1754"/>
      <c r="AM59" s="1754"/>
      <c r="AN59" s="1754"/>
      <c r="AO59" s="1754"/>
      <c r="AP59" s="1754"/>
      <c r="AQ59" s="1754"/>
      <c r="AR59" s="1754"/>
      <c r="AS59" s="1754"/>
      <c r="AT59" s="1754"/>
      <c r="AU59" s="1754"/>
      <c r="AV59" s="1754"/>
      <c r="AW59" s="1754"/>
      <c r="AX59" s="1754"/>
      <c r="AY59" s="1754"/>
      <c r="AZ59" s="1754"/>
      <c r="BA59" s="1754"/>
      <c r="BB59" s="1754"/>
      <c r="BC59" s="1755"/>
      <c r="BE59" s="861"/>
      <c r="BF59" s="861" t="str">
        <f>IF(T59="","",T59)</f>
        <v/>
      </c>
      <c r="BG59" s="861"/>
      <c r="BH59" s="861"/>
    </row>
    <row s="32198" customFormat="1" customHeight="1" ht="0">
      <c r="A60" s="1709" t="s">
        <v>317</v>
      </c>
      <c r="B60" s="1709" t="s">
        <v>318</v>
      </c>
      <c r="C60" s="1709" t="s">
        <v>319</v>
      </c>
      <c r="D60" s="1680"/>
      <c r="E60" s="2528"/>
      <c r="F60" s="2528"/>
      <c r="G60" s="2527"/>
      <c r="H60" s="1680"/>
      <c r="I60" s="1680"/>
      <c r="J60" s="1680"/>
      <c r="K60" s="1680"/>
      <c r="L60" s="1860"/>
      <c r="M60" s="1681"/>
      <c r="N60" s="1681"/>
      <c r="P60" s="1682"/>
      <c r="Q60" s="1683"/>
      <c r="R60" s="1682"/>
      <c r="S60" s="1688"/>
      <c r="T60" s="1691"/>
      <c r="U60" s="1690"/>
      <c r="V60" s="1690"/>
      <c r="W60" s="1690"/>
      <c r="X60" s="1690"/>
      <c r="Y60" s="1690"/>
      <c r="Z60" s="1690"/>
      <c r="AA60" s="1690"/>
      <c r="AB60" s="1690"/>
      <c r="AC60" s="1690"/>
      <c r="AD60" s="1690"/>
      <c r="AE60" s="1690"/>
      <c r="AF60" s="1690"/>
      <c r="AG60" s="1690"/>
      <c r="AH60" s="1690"/>
      <c r="AI60" s="1690"/>
      <c r="AJ60" s="1690"/>
      <c r="AK60" s="1690"/>
      <c r="AL60" s="1690"/>
      <c r="AM60" s="1690"/>
      <c r="AN60" s="1690"/>
      <c r="AO60" s="1690"/>
      <c r="AP60" s="1690"/>
      <c r="AQ60" s="1690"/>
      <c r="AR60" s="1690"/>
      <c r="AS60" s="1690"/>
      <c r="AT60" s="1690"/>
      <c r="AU60" s="1690"/>
      <c r="AV60" s="1690"/>
      <c r="AW60" s="1690"/>
      <c r="AX60" s="1690"/>
      <c r="AY60" s="1690"/>
      <c r="AZ60" s="1690"/>
      <c r="BA60" s="1690"/>
      <c r="BB60" s="1690"/>
      <c r="BC60" s="1690"/>
      <c r="BE60" s="1150"/>
      <c r="BF60" s="1150" t="str">
        <f>IF(T60="","",T60)</f>
        <v/>
      </c>
      <c r="BG60" s="1150"/>
      <c r="BH60" s="1150"/>
    </row>
    <row s="32198" customFormat="1" customHeight="1" ht="0">
      <c r="A61" s="1709" t="s">
        <v>317</v>
      </c>
      <c r="B61" s="1709" t="s">
        <v>318</v>
      </c>
      <c r="C61" s="1680"/>
      <c r="D61" s="1680"/>
      <c r="E61" s="2528"/>
      <c r="F61" s="2527"/>
      <c r="G61" s="1680"/>
      <c r="H61" s="1680"/>
      <c r="I61" s="1680"/>
      <c r="J61" s="1680"/>
      <c r="K61" s="1680"/>
      <c r="L61" s="1860"/>
      <c r="M61" s="1687"/>
      <c r="N61" s="1687"/>
      <c r="P61" s="1682"/>
      <c r="Q61" s="1683"/>
      <c r="R61" s="1682"/>
      <c r="S61" s="1688"/>
      <c r="T61" s="1691" t="s">
        <v>262</v>
      </c>
      <c r="U61" s="1690"/>
      <c r="V61" s="1690"/>
      <c r="W61" s="1690"/>
      <c r="X61" s="1690"/>
      <c r="Y61" s="1690"/>
      <c r="Z61" s="1690"/>
      <c r="AA61" s="1690"/>
      <c r="AB61" s="1690"/>
      <c r="AC61" s="1690"/>
      <c r="AD61" s="1690"/>
      <c r="AE61" s="1690"/>
      <c r="AF61" s="1690"/>
      <c r="AG61" s="1690"/>
      <c r="AH61" s="1690"/>
      <c r="AI61" s="1690"/>
      <c r="AJ61" s="1690"/>
      <c r="AK61" s="1690"/>
      <c r="AL61" s="1690"/>
      <c r="AM61" s="1690"/>
      <c r="AN61" s="1690"/>
      <c r="AO61" s="1690"/>
      <c r="AP61" s="1690"/>
      <c r="AQ61" s="1690"/>
      <c r="AR61" s="1690"/>
      <c r="AS61" s="1690"/>
      <c r="AT61" s="1690"/>
      <c r="AU61" s="1690"/>
      <c r="AV61" s="1690"/>
      <c r="AW61" s="1690"/>
      <c r="AX61" s="1690"/>
      <c r="AY61" s="1690"/>
      <c r="AZ61" s="1690"/>
      <c r="BA61" s="1690"/>
      <c r="BB61" s="1690"/>
      <c r="BC61" s="1690"/>
      <c r="BE61" s="1150"/>
      <c r="BF61" s="1150" t="str">
        <f>IF(T61="","",T61)</f>
        <v>Добавить централизованную систему для дифференциации</v>
      </c>
      <c r="BG61" s="1150"/>
      <c r="BH61" s="1150"/>
    </row>
    <row s="32289" customFormat="1" customHeight="1" ht="0">
      <c r="A62" s="1709" t="s">
        <v>317</v>
      </c>
      <c r="B62" s="1709"/>
      <c r="C62" s="1709"/>
      <c r="D62" s="1709"/>
      <c r="E62" s="2527"/>
      <c r="F62" s="1709"/>
      <c r="G62" s="1709"/>
      <c r="H62" s="1709"/>
      <c r="I62" s="1709"/>
      <c r="J62" s="1709"/>
      <c r="K62" s="1709"/>
      <c r="L62" s="1712"/>
      <c r="M62" s="1687"/>
      <c r="N62" s="1687"/>
      <c r="O62" s="879"/>
      <c r="P62" s="741"/>
      <c r="Q62" s="1710"/>
      <c r="R62" s="741"/>
      <c r="S62" s="1688"/>
      <c r="T62" s="1691" t="s">
        <v>270</v>
      </c>
      <c r="U62" s="1690"/>
      <c r="V62" s="1690"/>
      <c r="W62" s="1690"/>
      <c r="X62" s="1690"/>
      <c r="Y62" s="1690"/>
      <c r="Z62" s="1690"/>
      <c r="AA62" s="1690"/>
      <c r="AB62" s="1690"/>
      <c r="AC62" s="1690"/>
      <c r="AD62" s="1690"/>
      <c r="AE62" s="1690"/>
      <c r="AF62" s="1690"/>
      <c r="AG62" s="1690"/>
      <c r="AH62" s="1690"/>
      <c r="AI62" s="1690"/>
      <c r="AJ62" s="1690"/>
      <c r="AK62" s="1690"/>
      <c r="AL62" s="1690"/>
      <c r="AM62" s="1690"/>
      <c r="AN62" s="1690"/>
      <c r="AO62" s="1690"/>
      <c r="AP62" s="1690"/>
      <c r="AQ62" s="1690"/>
      <c r="AR62" s="1690"/>
      <c r="AS62" s="1690"/>
      <c r="AT62" s="1690"/>
      <c r="AU62" s="1690"/>
      <c r="AV62" s="1690"/>
      <c r="AW62" s="1690"/>
      <c r="AX62" s="1690"/>
      <c r="AY62" s="1690"/>
      <c r="AZ62" s="1690"/>
      <c r="BA62" s="1690"/>
      <c r="BB62" s="1690"/>
      <c r="BC62" s="1690"/>
      <c r="BE62" s="861"/>
      <c r="BF62" s="861" t="str">
        <f>IF(T62="","",T62)</f>
        <v>Добавить территорию для дифференциации</v>
      </c>
      <c r="BG62" s="861"/>
      <c r="BH62" s="861"/>
    </row>
    <row s="32198" customFormat="1" customHeight="1" ht="0">
      <c r="A63" s="1680"/>
      <c r="B63" s="1680"/>
      <c r="C63" s="1680"/>
      <c r="D63" s="1680"/>
      <c r="E63" s="1709"/>
      <c r="F63" s="1680"/>
      <c r="G63" s="1680"/>
      <c r="H63" s="1680"/>
      <c r="I63" s="1680"/>
      <c r="J63" s="1680"/>
      <c r="K63" s="1680"/>
      <c r="L63" s="1860"/>
      <c r="M63" s="1687"/>
      <c r="N63" s="1687"/>
      <c r="P63" s="1682"/>
      <c r="Q63" s="1683"/>
      <c r="R63" s="1682"/>
      <c r="S63" s="1688"/>
      <c r="T63" s="1691" t="s">
        <v>294</v>
      </c>
      <c r="U63" s="1690"/>
      <c r="V63" s="1690"/>
      <c r="W63" s="1690"/>
      <c r="X63" s="1690"/>
      <c r="Y63" s="1690"/>
      <c r="Z63" s="1690"/>
      <c r="AA63" s="1690"/>
      <c r="AB63" s="1690"/>
      <c r="AC63" s="1690"/>
      <c r="AD63" s="1690"/>
      <c r="AE63" s="1690"/>
      <c r="AF63" s="1690"/>
      <c r="AG63" s="1690"/>
      <c r="AH63" s="1690"/>
      <c r="AI63" s="1690"/>
      <c r="AJ63" s="1690"/>
      <c r="AK63" s="1690"/>
      <c r="AL63" s="1690"/>
      <c r="AM63" s="1690"/>
      <c r="AN63" s="1690"/>
      <c r="AO63" s="1690"/>
      <c r="AP63" s="1690"/>
      <c r="AQ63" s="1690"/>
      <c r="AR63" s="1690"/>
      <c r="AS63" s="1690"/>
      <c r="AT63" s="1690"/>
      <c r="AU63" s="1690"/>
      <c r="AV63" s="1690"/>
      <c r="AW63" s="1690"/>
      <c r="AX63" s="1690"/>
      <c r="AY63" s="1690"/>
      <c r="AZ63" s="1690"/>
      <c r="BA63" s="1690"/>
      <c r="BB63" s="1690"/>
      <c r="BC63" s="1690"/>
      <c r="BE63" s="1150"/>
      <c r="BF63" s="1150" t="str">
        <f>IF(T63="","",T63)</f>
        <v>Добавить наименование тарифа</v>
      </c>
      <c r="BG63" s="1150"/>
      <c r="BH63" s="1150"/>
    </row>
    <row customHeight="1" ht="11.25">
      <c r="M64" s="1523"/>
      <c r="N64" s="1523"/>
      <c r="O64" s="898"/>
      <c r="P64" s="1523"/>
      <c r="Q64" s="1523"/>
      <c r="R64" s="1518"/>
      <c r="S64" s="1518"/>
      <c r="BD64" s="1518"/>
      <c r="BE64" s="1518"/>
      <c r="BF64" s="1518"/>
      <c r="BG64" s="1518"/>
      <c r="BH64" s="1518"/>
    </row>
    <row customHeight="1" ht="14.25">
      <c r="O65" s="898"/>
      <c r="S65" s="1618"/>
      <c r="T65" s="2526"/>
      <c r="U65" s="2526"/>
      <c r="V65" s="2526"/>
      <c r="W65" s="2526"/>
      <c r="X65" s="2526"/>
      <c r="Y65" s="2526"/>
      <c r="Z65" s="2526"/>
      <c r="AA65" s="2526"/>
      <c r="AB65" s="2526"/>
      <c r="AC65" s="2526"/>
      <c r="AD65" s="2526"/>
      <c r="AE65" s="2526"/>
      <c r="AF65" s="2526"/>
      <c r="AG65" s="2526"/>
      <c r="AH65" s="2526"/>
      <c r="AI65" s="2526"/>
      <c r="AJ65" s="2526"/>
      <c r="AK65" s="2526"/>
      <c r="AL65" s="2526"/>
      <c r="AM65" s="2526"/>
      <c r="AN65" s="2526"/>
      <c r="AO65" s="2526"/>
      <c r="AP65" s="2526"/>
      <c r="AQ65" s="2526"/>
      <c r="AR65" s="2526"/>
      <c r="AS65" s="2526"/>
      <c r="AT65" s="2526"/>
      <c r="AU65" s="2526"/>
      <c r="AV65" s="2526"/>
      <c r="AW65" s="2526"/>
      <c r="AX65" s="2526"/>
      <c r="AY65" s="2526"/>
      <c r="AZ65" s="2526"/>
      <c r="BA65" s="2526"/>
      <c r="BB65" s="2526"/>
      <c r="BC65" s="2526"/>
    </row>
    <row customHeight="1" ht="14.25">
      <c r="O66" s="898"/>
      <c r="T66" s="1846"/>
      <c r="U66" s="1846"/>
      <c r="V66" s="1846"/>
      <c r="W66" s="1846"/>
      <c r="X66" s="1846"/>
      <c r="Y66" s="1846"/>
      <c r="Z66" s="1846"/>
      <c r="AA66" s="1846"/>
      <c r="AB66" s="1846"/>
      <c r="AC66" s="1846"/>
      <c r="AD66" s="1846"/>
      <c r="AE66" s="1846"/>
      <c r="AF66" s="1846"/>
      <c r="AG66" s="1846"/>
      <c r="AH66" s="1846"/>
      <c r="AI66" s="1846"/>
      <c r="AJ66" s="1846"/>
      <c r="AK66" s="1846"/>
      <c r="AL66" s="1846"/>
      <c r="AM66" s="1846"/>
      <c r="AN66" s="1846"/>
      <c r="AO66" s="1846"/>
      <c r="AP66" s="1846"/>
      <c r="AQ66" s="1846"/>
      <c r="AR66" s="1846"/>
      <c r="AS66" s="1846"/>
      <c r="AT66" s="1846"/>
      <c r="AU66" s="1846"/>
      <c r="AV66" s="1846"/>
      <c r="AW66" s="1846"/>
      <c r="AX66" s="1846"/>
      <c r="AY66" s="1846"/>
      <c r="AZ66" s="1846"/>
      <c r="BA66" s="1846"/>
      <c r="BB66" s="1846"/>
      <c r="BC66" s="1846"/>
    </row>
    <row customHeight="1" ht="14.25">
      <c r="O67" s="898"/>
      <c r="S67" s="1618"/>
      <c r="T67" s="2526"/>
      <c r="U67" s="2526"/>
      <c r="V67" s="2526"/>
      <c r="W67" s="2526"/>
      <c r="X67" s="2526"/>
      <c r="Y67" s="2526"/>
      <c r="Z67" s="2526"/>
      <c r="AA67" s="2526"/>
      <c r="AB67" s="2526"/>
      <c r="AC67" s="2526"/>
      <c r="AD67" s="2526"/>
      <c r="AE67" s="2526"/>
      <c r="AF67" s="2526"/>
      <c r="AG67" s="2526"/>
      <c r="AH67" s="2526"/>
      <c r="AI67" s="2526"/>
      <c r="AJ67" s="2526"/>
      <c r="AK67" s="2526"/>
      <c r="AL67" s="2526"/>
      <c r="AM67" s="2526"/>
      <c r="AN67" s="2526"/>
      <c r="AO67" s="2526"/>
      <c r="AP67" s="2526"/>
      <c r="AQ67" s="2526"/>
      <c r="AR67" s="2526"/>
      <c r="AS67" s="2526"/>
      <c r="AT67" s="2526"/>
      <c r="AU67" s="2526"/>
      <c r="AV67" s="2526"/>
      <c r="AW67" s="2526"/>
      <c r="AX67" s="2526"/>
      <c r="AY67" s="2526"/>
      <c r="AZ67" s="2526"/>
      <c r="BA67" s="2526"/>
      <c r="BB67" s="2526"/>
      <c r="BC67" s="2526"/>
    </row>
    <row customHeight="1" ht="14.25">
      <c r="O68" s="898"/>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E8EF6-284D-192B-9E6C-AA771764C205}" mc:Ignorable="x14ac xr xr2 xr3">
  <sheetPr>
    <tabColor rgb="FFCCCCFF"/>
    <pageSetUpPr fitToPage="1"/>
  </sheetPr>
  <dimension ref="A1:AB34"/>
  <sheetViews>
    <sheetView topLeftCell="A1" showGridLines="0" zoomScale="90" workbookViewId="0">
      <selection activeCell="G18" sqref="G18"/>
    </sheetView>
  </sheetViews>
  <sheetFormatPr defaultColWidth="9.140625" customHeight="1" defaultRowHeight="14.25"/>
  <cols>
    <col min="1" max="1" style="31547" width="8.00390625" hidden="1" customWidth="1"/>
    <col min="2" max="2" style="31548" width="6.00390625" hidden="1" customWidth="1"/>
    <col min="3" max="3" style="31547" width="3.7109375" customWidth="1"/>
    <col min="4" max="4" style="31549" width="3.7109375" customWidth="1"/>
    <col min="5" max="5" style="31550" width="6.28125" customWidth="1"/>
    <col min="6" max="6" style="31547" width="2.7109375" hidden="1" customWidth="1"/>
    <col min="7" max="7" style="31550" width="46.7109375" customWidth="1"/>
    <col min="8" max="8" style="31550" width="43.140625" customWidth="1"/>
    <col min="9" max="9" style="31550" width="14.8515625" customWidth="1"/>
    <col min="10" max="10" style="31551" width="3.7109375" customWidth="1"/>
    <col min="11" max="13" style="31551" width="9.140625" hidden="1"/>
    <col min="14" max="14" style="31552" width="25.7109375" hidden="1" customWidth="1"/>
    <col min="15" max="15" style="31551" width="14.421875" hidden="1" customWidth="1"/>
    <col min="16" max="19" style="31553" width="9.140625" hidden="1"/>
    <col min="20" max="27" style="31550" width="9.140625" hidden="1"/>
    <col min="28" max="28" style="31550" width="9.140625"/>
  </cols>
  <sheetData>
    <row s="31454" customFormat="1" customHeight="1" ht="5.25" hidden="1">
      <c r="A1" s="857"/>
      <c r="B1" s="872"/>
      <c r="C1" s="872"/>
      <c r="D1" s="582"/>
      <c r="F1" s="872"/>
      <c r="G1" s="608" t="s">
        <v>82</v>
      </c>
      <c r="H1" s="855" t="s">
        <v>83</v>
      </c>
      <c r="I1" s="588" t="s">
        <v>84</v>
      </c>
      <c r="J1" s="608" t="s">
        <v>82</v>
      </c>
      <c r="K1" s="608"/>
      <c r="L1" s="608"/>
      <c r="M1" s="608"/>
      <c r="N1" s="609"/>
      <c r="O1" s="608"/>
      <c r="P1" s="608"/>
      <c r="Q1" s="608"/>
      <c r="R1" s="608"/>
      <c r="S1" s="608"/>
      <c r="T1" s="588"/>
      <c r="U1" s="588"/>
      <c r="V1" s="588"/>
      <c r="W1" s="588"/>
      <c r="X1" s="588"/>
      <c r="Y1" s="588"/>
      <c r="Z1" s="588"/>
      <c r="AA1" s="588"/>
      <c r="AB1" s="588"/>
    </row>
    <row s="31462" customFormat="1" customHeight="1" ht="11.25">
      <c r="A2" s="1192"/>
      <c r="B2" s="589"/>
      <c r="C2" s="589"/>
      <c r="D2" s="590"/>
      <c r="E2" s="589"/>
      <c r="F2" s="589"/>
      <c r="G2" s="589"/>
      <c r="H2" s="589"/>
      <c r="I2" s="589"/>
      <c r="J2" s="608"/>
      <c r="K2" s="608"/>
      <c r="L2" s="608"/>
      <c r="M2" s="608"/>
      <c r="N2" s="609"/>
      <c r="O2" s="608"/>
      <c r="P2" s="591"/>
      <c r="Q2" s="591"/>
      <c r="R2" s="591"/>
      <c r="S2" s="591"/>
      <c r="T2" s="590"/>
      <c r="U2" s="590"/>
      <c r="V2" s="590"/>
      <c r="W2" s="590"/>
      <c r="X2" s="590"/>
      <c r="Y2" s="590"/>
      <c r="Z2" s="590"/>
      <c r="AA2" s="590"/>
      <c r="AB2" s="590"/>
    </row>
    <row s="31467" customFormat="1" customHeight="1" ht="3">
      <c r="A3" s="1119"/>
      <c r="B3" s="778"/>
      <c r="C3" s="1119"/>
      <c r="D3" s="526"/>
      <c r="E3" s="465"/>
      <c r="F3" s="870"/>
      <c r="G3" s="465"/>
      <c r="H3" s="465"/>
      <c r="I3" s="528"/>
      <c r="J3" s="608"/>
      <c r="K3" s="517"/>
      <c r="L3" s="517"/>
      <c r="M3" s="517"/>
      <c r="N3" s="587"/>
      <c r="O3" s="517"/>
      <c r="P3" s="586"/>
      <c r="Q3" s="586"/>
      <c r="R3" s="586"/>
      <c r="S3" s="586"/>
    </row>
    <row s="31467" customFormat="1" customHeight="1" ht="25.5">
      <c r="A4" s="1119"/>
      <c r="B4" s="778"/>
      <c r="C4" s="1119"/>
      <c r="D4" s="526"/>
      <c r="E4" s="2375" t="str">
        <f>NameTemplatesInListMO</f>
        <v>Перечень муниципальных районов и муниципальных образований (территорий действия тарифа)</v>
      </c>
      <c r="F4" s="2375"/>
      <c r="G4" s="2375"/>
      <c r="H4" s="2375"/>
      <c r="I4" s="2375"/>
      <c r="J4" s="608"/>
      <c r="K4" s="517"/>
      <c r="L4" s="517"/>
      <c r="M4" s="517"/>
      <c r="N4" s="587"/>
      <c r="O4" s="517"/>
      <c r="P4" s="586"/>
      <c r="Q4" s="586"/>
      <c r="R4" s="586"/>
      <c r="S4" s="586"/>
    </row>
    <row s="31467" customFormat="1" customHeight="1" ht="3">
      <c r="A5" s="1119"/>
      <c r="B5" s="778"/>
      <c r="C5" s="1119"/>
      <c r="D5" s="526"/>
      <c r="E5" s="465"/>
      <c r="F5" s="870"/>
      <c r="G5" s="529"/>
      <c r="H5" s="529"/>
      <c r="I5" s="530"/>
      <c r="J5" s="517"/>
      <c r="K5" s="517"/>
      <c r="L5" s="517"/>
      <c r="M5" s="517"/>
      <c r="N5" s="587"/>
      <c r="O5" s="517"/>
      <c r="P5" s="586"/>
      <c r="Q5" s="586"/>
      <c r="R5" s="586"/>
      <c r="S5" s="586"/>
    </row>
    <row s="31467" customFormat="1" customHeight="1" ht="20.25" hidden="1">
      <c r="A6" s="1198"/>
      <c r="B6" s="1194"/>
      <c r="C6" s="531"/>
      <c r="D6" s="526"/>
      <c r="E6" s="1140"/>
      <c r="F6" s="1140"/>
      <c r="G6" s="529"/>
      <c r="H6" s="532"/>
      <c r="I6" s="532"/>
      <c r="J6" s="517"/>
      <c r="K6" s="517"/>
      <c r="L6" s="517"/>
      <c r="M6" s="517"/>
      <c r="N6" s="587"/>
      <c r="O6" s="517"/>
      <c r="P6" s="586"/>
      <c r="Q6" s="586"/>
      <c r="R6" s="586"/>
      <c r="S6" s="586"/>
    </row>
    <row customHeight="1" ht="25.5" hidden="1"/>
    <row s="31467" customFormat="1" customHeight="1" ht="14.25">
      <c r="A8" s="1119"/>
      <c r="B8" s="778"/>
      <c r="C8" s="1119"/>
      <c r="D8" s="526"/>
      <c r="E8" s="2376" t="s">
        <v>85</v>
      </c>
      <c r="F8" s="2377"/>
      <c r="G8" s="2378"/>
      <c r="H8" s="2379" t="s">
        <v>86</v>
      </c>
      <c r="I8" s="2379"/>
      <c r="J8" s="517"/>
      <c r="K8" s="517"/>
      <c r="L8" s="517"/>
      <c r="M8" s="517"/>
      <c r="N8" s="587"/>
      <c r="O8" s="517"/>
      <c r="P8" s="586"/>
      <c r="Q8" s="586"/>
      <c r="R8" s="586"/>
      <c r="S8" s="586"/>
    </row>
    <row s="31467" customFormat="1" customHeight="1" ht="20.25">
      <c r="A9" s="1119"/>
      <c r="B9" s="778"/>
      <c r="C9" s="1119"/>
      <c r="D9" s="526"/>
      <c r="E9" s="1138" t="s">
        <v>87</v>
      </c>
      <c r="F9" s="1138"/>
      <c r="G9" s="534" t="s">
        <v>88</v>
      </c>
      <c r="H9" s="534" t="s">
        <v>88</v>
      </c>
      <c r="I9" s="534" t="s">
        <v>84</v>
      </c>
      <c r="J9" s="517"/>
      <c r="K9" s="517"/>
      <c r="L9" s="517"/>
      <c r="M9" s="517"/>
      <c r="N9" s="587"/>
      <c r="O9" s="517"/>
      <c r="P9" s="586"/>
      <c r="Q9" s="586"/>
      <c r="R9" s="586"/>
      <c r="S9" s="586"/>
    </row>
    <row customHeight="1" ht="11.25">
      <c r="D10" s="538"/>
      <c r="E10" s="1139" t="s">
        <v>89</v>
      </c>
      <c r="F10" s="1139"/>
      <c r="G10" s="584" t="s">
        <v>90</v>
      </c>
      <c r="H10" s="584" t="s">
        <v>91</v>
      </c>
      <c r="I10" s="584" t="s">
        <v>92</v>
      </c>
      <c r="J10" s="547"/>
      <c r="K10" s="547"/>
      <c r="L10" s="547"/>
      <c r="M10" s="547"/>
      <c r="N10" s="533"/>
      <c r="O10" s="547"/>
      <c r="P10" s="585"/>
      <c r="Q10" s="585"/>
      <c r="R10" s="585"/>
      <c r="S10" s="585"/>
    </row>
    <row s="31467" customFormat="1" customHeight="1" ht="0.75">
      <c r="A11" s="1119"/>
      <c r="B11" s="778"/>
      <c r="C11" s="1119"/>
      <c r="D11" s="526"/>
      <c r="E11" s="1151"/>
      <c r="F11" s="1151"/>
      <c r="G11" s="535"/>
      <c r="H11" s="535"/>
      <c r="I11" s="537"/>
      <c r="J11" s="610" t="s">
        <v>93</v>
      </c>
      <c r="K11" s="517"/>
      <c r="L11" s="517"/>
      <c r="M11" s="517" t="s">
        <v>94</v>
      </c>
      <c r="N11" s="587" t="s">
        <v>95</v>
      </c>
      <c r="O11" s="517" t="s">
        <v>96</v>
      </c>
      <c r="P11" s="586"/>
      <c r="Q11" s="586"/>
      <c r="R11" s="586"/>
      <c r="S11" s="586"/>
    </row>
    <row s="31501" customFormat="1" customHeight="1" ht="14.25">
      <c r="A12" s="2374">
        <v>1</v>
      </c>
      <c r="B12" s="778"/>
      <c r="C12" s="1119"/>
      <c r="D12" s="1143"/>
      <c r="E12" s="580">
        <f>A12</f>
        <v>1</v>
      </c>
      <c r="F12" s="1163" t="s">
        <v>97</v>
      </c>
      <c r="G12" s="901" t="str">
        <f>"Территория "&amp;E12</f>
        <v>Территория 1</v>
      </c>
      <c r="H12" s="1153"/>
      <c r="I12" s="1153"/>
      <c r="J12" s="1150"/>
      <c r="K12" s="861"/>
      <c r="L12" s="861"/>
      <c r="M12" s="861"/>
      <c r="N12" s="587"/>
      <c r="O12" s="861"/>
      <c r="P12" s="586"/>
      <c r="Q12" s="586"/>
      <c r="R12" s="586"/>
      <c r="S12" s="586"/>
    </row>
    <row s="31510" customFormat="1" customHeight="1" ht="15">
      <c r="A13" s="2374"/>
      <c r="B13" s="778">
        <v>1</v>
      </c>
      <c r="C13" s="778"/>
      <c r="D13" s="1161"/>
      <c r="E13" s="1141" t="str">
        <f>A12&amp;"."&amp;B13</f>
        <v>1.1</v>
      </c>
      <c r="F13" s="1156" t="s">
        <v>98</v>
      </c>
      <c r="G13" s="1154" t="s">
        <v>99</v>
      </c>
      <c r="H13" s="1154" t="s">
        <v>99</v>
      </c>
      <c r="I13" s="1152" t="s">
        <v>100</v>
      </c>
      <c r="J13" s="861">
        <f>MERGEVALUE(G13)</f>
      </c>
      <c r="K13" s="872"/>
      <c r="L13" s="872"/>
      <c r="M13" s="861" t="str">
        <f t="array" ref="M13:M13">IF(ISERROR(MATCH(MID(N13,1,250),MID(note_ter,1,250),0)),"n","y")</f>
        <v>n</v>
      </c>
      <c r="N13" s="872"/>
      <c r="O13" s="861" t="str">
        <f>H13&amp;"("&amp;I13&amp;")"</f>
        <v>Ковдорский муниципальный округ(47517000)</v>
      </c>
      <c r="P13" s="778"/>
      <c r="Q13" s="778"/>
      <c r="R13" s="781"/>
      <c r="S13" s="778"/>
      <c r="T13" s="778"/>
      <c r="U13" s="778"/>
      <c r="V13" s="783"/>
      <c r="W13" s="783"/>
      <c r="X13" s="780"/>
      <c r="Y13" s="780"/>
      <c r="Z13" s="780"/>
      <c r="AA13" s="780"/>
      <c r="AB13" s="780"/>
    </row>
    <row s="31510" customFormat="1" customHeight="1" ht="15">
      <c r="A14" s="2374"/>
      <c r="B14" s="778"/>
      <c r="C14" s="773"/>
      <c r="D14" s="1162"/>
      <c r="E14" s="782"/>
      <c r="F14" s="539"/>
      <c r="G14" s="776" t="s">
        <v>101</v>
      </c>
      <c r="H14" s="548"/>
      <c r="I14" s="785"/>
      <c r="J14" s="872"/>
      <c r="K14" s="872"/>
      <c r="L14" s="872"/>
      <c r="M14" s="872"/>
      <c r="N14" s="861"/>
      <c r="O14" s="872"/>
      <c r="P14" s="778"/>
      <c r="Q14" s="778"/>
      <c r="R14" s="781"/>
      <c r="S14" s="778"/>
      <c r="T14" s="778"/>
      <c r="U14" s="778"/>
      <c r="V14" s="783"/>
      <c r="W14" s="783"/>
      <c r="X14" s="780"/>
      <c r="Y14" s="780"/>
      <c r="Z14" s="780"/>
      <c r="AA14" s="780"/>
      <c r="AB14" s="780"/>
    </row>
    <row customHeight="1" ht="15">
      <c r="A15" s="2502" t="s">
        <v>102</v>
      </c>
      <c r="B15" s="1523"/>
      <c r="C15" s="1162" t="s">
        <v>103</v>
      </c>
      <c r="D15" s="2184"/>
      <c r="E15" s="2171" t="str">
        <f>A15</f>
        <v>2</v>
      </c>
      <c r="F15" s="1165" t="s">
        <v>104</v>
      </c>
      <c r="G15" s="901" t="str">
        <f>"Территория "&amp;E15</f>
        <v>Территория 2</v>
      </c>
      <c r="H15" s="1153"/>
      <c r="I15" s="1153"/>
      <c r="J15" s="1150"/>
      <c r="K15" s="1990"/>
      <c r="L15" s="1990"/>
      <c r="M15" s="1990"/>
      <c r="N15" s="587"/>
      <c r="O15" s="1990"/>
      <c r="P15" s="586"/>
      <c r="Q15" s="586"/>
      <c r="R15" s="586"/>
      <c r="S15" s="586"/>
      <c r="T15" s="5559"/>
      <c r="U15" s="5559"/>
      <c r="V15" s="5559"/>
      <c r="W15" s="5559"/>
      <c r="X15" s="5559"/>
      <c r="Y15" s="5559"/>
      <c r="Z15" s="5559"/>
      <c r="AA15" s="5559"/>
      <c r="AB15" s="5559"/>
    </row>
    <row customHeight="1" ht="15">
      <c r="A16" s="2502"/>
      <c r="B16" s="1523">
        <v>1</v>
      </c>
      <c r="C16" s="1523"/>
      <c r="D16" s="1161"/>
      <c r="E16" s="2179" t="str">
        <f>A15&amp;"."&amp;B16</f>
        <v>2.1</v>
      </c>
      <c r="F16" s="1164" t="s">
        <v>105</v>
      </c>
      <c r="G16" s="1154" t="s">
        <v>106</v>
      </c>
      <c r="H16" s="1154" t="s">
        <v>107</v>
      </c>
      <c r="I16" s="1152" t="s">
        <v>108</v>
      </c>
      <c r="J16" s="1990"/>
      <c r="K16" s="2002"/>
      <c r="L16" s="2002"/>
      <c r="M16" s="1990" t="str">
        <f t="array" ref="M16:M16">IF(ISERROR(MATCH(MID(N16,1,250),MID(note_ter,1,250),0)),"n","y")</f>
        <v>n</v>
      </c>
      <c r="N16" s="2002"/>
      <c r="O16" s="1990" t="str">
        <f>H16&amp;"("&amp;I16&amp;")"</f>
        <v>Алакурттинское сельское поселение(47608403)</v>
      </c>
      <c r="P16" s="1523"/>
      <c r="Q16" s="1523"/>
      <c r="R16" s="781"/>
      <c r="S16" s="1523"/>
      <c r="T16" s="1523"/>
      <c r="U16" s="1523"/>
      <c r="V16" s="783"/>
      <c r="W16" s="783"/>
      <c r="X16" s="780"/>
      <c r="Y16" s="780"/>
      <c r="Z16" s="780"/>
      <c r="AA16" s="780"/>
      <c r="AB16" s="780"/>
    </row>
    <row customHeight="1" ht="15">
      <c r="A17" s="2502"/>
      <c r="B17" s="1523"/>
      <c r="C17" s="773"/>
      <c r="D17" s="1162"/>
      <c r="E17" s="782"/>
      <c r="F17" s="539"/>
      <c r="G17" s="776" t="s">
        <v>101</v>
      </c>
      <c r="H17" s="548"/>
      <c r="I17" s="785"/>
      <c r="J17" s="2002"/>
      <c r="K17" s="2002"/>
      <c r="L17" s="2002"/>
      <c r="M17" s="2002"/>
      <c r="N17" s="1990"/>
      <c r="O17" s="2002"/>
      <c r="P17" s="1523"/>
      <c r="Q17" s="1523"/>
      <c r="R17" s="781"/>
      <c r="S17" s="1523"/>
      <c r="T17" s="1523"/>
      <c r="U17" s="1523"/>
      <c r="V17" s="783"/>
      <c r="W17" s="783"/>
      <c r="X17" s="780"/>
      <c r="Y17" s="780"/>
      <c r="Z17" s="780"/>
      <c r="AA17" s="780"/>
      <c r="AB17" s="780"/>
    </row>
    <row customHeight="1" ht="15">
      <c r="A18" s="2502" t="s">
        <v>89</v>
      </c>
      <c r="B18" s="1523"/>
      <c r="C18" s="1162" t="s">
        <v>103</v>
      </c>
      <c r="D18" s="2184"/>
      <c r="E18" s="2171" t="str">
        <f>A18</f>
        <v>3</v>
      </c>
      <c r="F18" s="1165" t="s">
        <v>109</v>
      </c>
      <c r="G18" s="901" t="str">
        <f>"Территория "&amp;E18</f>
        <v>Территория 3</v>
      </c>
      <c r="H18" s="1153"/>
      <c r="I18" s="1153"/>
      <c r="J18" s="1150"/>
      <c r="K18" s="1990"/>
      <c r="L18" s="1990"/>
      <c r="M18" s="1990"/>
      <c r="N18" s="587"/>
      <c r="O18" s="1990"/>
      <c r="P18" s="586"/>
      <c r="Q18" s="586"/>
      <c r="R18" s="586"/>
      <c r="S18" s="586"/>
      <c r="T18" s="5559"/>
      <c r="U18" s="5559"/>
      <c r="V18" s="5559"/>
      <c r="W18" s="5559"/>
      <c r="X18" s="5559"/>
      <c r="Y18" s="5559"/>
      <c r="Z18" s="5559"/>
      <c r="AA18" s="5559"/>
      <c r="AB18" s="5559"/>
    </row>
    <row customHeight="1" ht="15">
      <c r="A19" s="2502"/>
      <c r="B19" s="1523">
        <v>1</v>
      </c>
      <c r="C19" s="1523"/>
      <c r="D19" s="1161"/>
      <c r="E19" s="2179" t="str">
        <f>A18&amp;"."&amp;B19</f>
        <v>3.1</v>
      </c>
      <c r="F19" s="1164" t="s">
        <v>110</v>
      </c>
      <c r="G19" s="1154" t="s">
        <v>106</v>
      </c>
      <c r="H19" s="1154" t="s">
        <v>106</v>
      </c>
      <c r="I19" s="1152" t="s">
        <v>111</v>
      </c>
      <c r="J19" s="1990"/>
      <c r="K19" s="2002"/>
      <c r="L19" s="2002"/>
      <c r="M19" s="1990" t="str">
        <f t="array" ref="M19:M19">IF(ISERROR(MATCH(MID(N19,1,250),MID(note_ter,1,250),0)),"n","y")</f>
        <v>n</v>
      </c>
      <c r="N19" s="2002"/>
      <c r="O19" s="1990" t="str">
        <f>H19&amp;"("&amp;I19&amp;")"</f>
        <v>Кандалакшский муниципальный район(47608000)</v>
      </c>
      <c r="P19" s="1523"/>
      <c r="Q19" s="1523"/>
      <c r="R19" s="781"/>
      <c r="S19" s="1523"/>
      <c r="T19" s="1523"/>
      <c r="U19" s="1523"/>
      <c r="V19" s="783"/>
      <c r="W19" s="783"/>
      <c r="X19" s="780"/>
      <c r="Y19" s="780"/>
      <c r="Z19" s="780"/>
      <c r="AA19" s="780"/>
      <c r="AB19" s="780"/>
    </row>
    <row customHeight="1" ht="15">
      <c r="A20" s="2502"/>
      <c r="B20" s="1523"/>
      <c r="C20" s="773"/>
      <c r="D20" s="1162"/>
      <c r="E20" s="782"/>
      <c r="F20" s="539"/>
      <c r="G20" s="776" t="s">
        <v>101</v>
      </c>
      <c r="H20" s="548"/>
      <c r="I20" s="785"/>
      <c r="J20" s="2002"/>
      <c r="K20" s="2002"/>
      <c r="L20" s="2002"/>
      <c r="M20" s="2002"/>
      <c r="N20" s="1990"/>
      <c r="O20" s="2002"/>
      <c r="P20" s="1523"/>
      <c r="Q20" s="1523"/>
      <c r="R20" s="781"/>
      <c r="S20" s="1523"/>
      <c r="T20" s="1523"/>
      <c r="U20" s="1523"/>
      <c r="V20" s="783"/>
      <c r="W20" s="783"/>
      <c r="X20" s="780"/>
      <c r="Y20" s="780"/>
      <c r="Z20" s="780"/>
      <c r="AA20" s="780"/>
      <c r="AB20" s="780"/>
    </row>
    <row s="31467" customFormat="1" customHeight="1" ht="14.25">
      <c r="A21" s="1119"/>
      <c r="B21" s="778"/>
      <c r="C21" s="1119"/>
      <c r="D21" s="1143"/>
      <c r="E21" s="1155"/>
      <c r="F21" s="540"/>
      <c r="G21" s="777" t="s">
        <v>112</v>
      </c>
      <c r="H21" s="540"/>
      <c r="I21" s="541"/>
      <c r="J21" s="610"/>
      <c r="K21" s="517"/>
      <c r="L21" s="517"/>
      <c r="M21" s="517"/>
      <c r="N21" s="587" t="s">
        <v>113</v>
      </c>
      <c r="O21" s="517"/>
      <c r="P21" s="586"/>
      <c r="Q21" s="586"/>
      <c r="R21" s="586"/>
      <c r="S21" s="586"/>
    </row>
    <row s="31467" customFormat="1" customHeight="1" ht="21">
      <c r="A22" s="1119"/>
      <c r="B22" s="778"/>
      <c r="C22" s="1119"/>
      <c r="D22" s="527"/>
      <c r="E22" s="542"/>
      <c r="F22" s="542"/>
      <c r="G22" s="542"/>
      <c r="H22" s="542"/>
      <c r="I22" s="542"/>
      <c r="J22" s="517"/>
      <c r="K22" s="517"/>
      <c r="L22" s="517"/>
      <c r="M22" s="517"/>
      <c r="N22" s="587"/>
      <c r="O22" s="517"/>
      <c r="P22" s="586"/>
      <c r="Q22" s="586"/>
      <c r="R22" s="586"/>
      <c r="S22" s="586"/>
    </row>
    <row s="31467" customFormat="1" customHeight="1" ht="14.25">
      <c r="A23" s="1119"/>
      <c r="B23" s="778"/>
      <c r="C23" s="1119"/>
      <c r="D23" s="527"/>
      <c r="E23" s="444"/>
      <c r="F23" s="1119"/>
      <c r="G23" s="444"/>
      <c r="H23" s="444"/>
      <c r="I23" s="444"/>
      <c r="J23" s="517"/>
      <c r="K23" s="517"/>
      <c r="L23" s="517"/>
      <c r="M23" s="517"/>
      <c r="N23" s="587"/>
      <c r="O23" s="517"/>
      <c r="P23" s="586"/>
      <c r="Q23" s="586"/>
      <c r="R23" s="586"/>
      <c r="S23" s="586"/>
    </row>
    <row s="31467" customFormat="1" customHeight="1" ht="0.75">
      <c r="A24" s="1119"/>
      <c r="B24" s="778"/>
      <c r="C24" s="1119"/>
      <c r="D24" s="527"/>
      <c r="E24" s="444"/>
      <c r="F24" s="1119"/>
      <c r="G24" s="444"/>
      <c r="H24" s="444"/>
      <c r="I24" s="444"/>
      <c r="J24" s="517"/>
      <c r="K24" s="517"/>
      <c r="L24" s="517"/>
      <c r="M24" s="517"/>
      <c r="N24" s="587"/>
      <c r="O24" s="517"/>
      <c r="P24" s="586"/>
      <c r="Q24" s="586"/>
      <c r="R24" s="586"/>
      <c r="S24" s="586"/>
    </row>
    <row s="31543" customFormat="1" customHeight="1" ht="10.5">
      <c r="B25" s="1195"/>
      <c r="D25" s="544"/>
      <c r="J25" s="517"/>
      <c r="K25" s="517"/>
      <c r="L25" s="517"/>
      <c r="M25" s="517"/>
      <c r="N25" s="587"/>
      <c r="O25" s="517"/>
      <c r="P25" s="586"/>
      <c r="Q25" s="586"/>
      <c r="R25" s="586"/>
      <c r="S25" s="586"/>
    </row>
    <row s="31543" customFormat="1" customHeight="1" ht="10.5">
      <c r="B26" s="1195"/>
      <c r="D26" s="544"/>
      <c r="J26" s="517"/>
      <c r="K26" s="517"/>
      <c r="L26" s="517"/>
      <c r="M26" s="517"/>
      <c r="N26" s="587"/>
      <c r="O26" s="517"/>
      <c r="P26" s="586"/>
      <c r="Q26" s="586"/>
      <c r="R26" s="586"/>
      <c r="S26" s="586"/>
    </row>
    <row r="30" customHeight="1" ht="14.25">
      <c r="H30" s="422"/>
    </row>
    <row r="34" customHeight="1" ht="14.25">
      <c r="J34" s="444"/>
      <c r="K34" s="444"/>
      <c r="L34" s="444"/>
    </row>
  </sheetData>
  <sheetProtection formatColumns="0" formatRows="0" autoFilter="0" sort="0" insertRows="0" insertColumns="1" deleteRows="0" deleteColumns="0"/>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632EA-8087-DBFA-CE81-9F3624C170E5}" mc:Ignorable="x14ac xr xr2 xr3">
  <sheetPr>
    <tabColor theme="6" tint="0.4"/>
  </sheetPr>
  <dimension ref="A1:FD142"/>
  <sheetViews>
    <sheetView topLeftCell="P23" showGridLines="0" zoomScale="90" workbookViewId="0" tabSelected="1">
      <selection activeCell="AG54" sqref="AG54:EX54"/>
    </sheetView>
  </sheetViews>
  <sheetFormatPr defaultColWidth="10.57421875" customHeight="1" defaultRowHeight="14.25"/>
  <cols>
    <col min="1" max="1" style="32217" width="10.57421875" hidden="1"/>
    <col min="2" max="2" style="32217" width="11.00390625" hidden="1" customWidth="1"/>
    <col min="3" max="3" style="32217" width="10.57421875" hidden="1"/>
    <col min="4" max="4" style="32217" width="11.8515625" hidden="1" customWidth="1"/>
    <col min="5" max="5" style="32217" width="10.00390625" hidden="1" customWidth="1"/>
    <col min="6" max="6" style="32217" width="8.7109375" hidden="1" customWidth="1"/>
    <col min="7" max="7" style="32217" width="7.57421875" hidden="1" customWidth="1"/>
    <col min="8" max="8" style="32217" width="11.421875" hidden="1" customWidth="1"/>
    <col min="9" max="9" style="32217" width="14.140625" hidden="1" customWidth="1"/>
    <col min="10" max="10" style="32217" width="9.8515625" hidden="1" customWidth="1"/>
    <col min="11" max="11" style="32217" width="14.7109375" hidden="1" customWidth="1"/>
    <col min="12" max="12" style="32566" width="19.140625" hidden="1" customWidth="1"/>
    <col min="13" max="14" style="32298" width="12.28125" hidden="1" customWidth="1"/>
    <col min="15" max="15" style="32298" width="23.421875" hidden="1" customWidth="1"/>
    <col min="16" max="16" style="32567" width="3.7109375" customWidth="1"/>
    <col min="17" max="18" style="32300" width="3.7109375" customWidth="1"/>
    <col min="19" max="19" style="32301" width="12.7109375" customWidth="1"/>
    <col min="20" max="20" style="32302" width="35.7109375" customWidth="1"/>
    <col min="21" max="21" style="32302" width="0.140625" customWidth="1"/>
    <col min="22" max="22" style="32302" width="19.7109375" hidden="1" customWidth="1"/>
    <col min="23" max="28" style="32343" width="19.7109375" hidden="1" customWidth="1"/>
    <col min="29" max="29" style="32302" width="11.7109375" hidden="1" customWidth="1"/>
    <col min="30" max="30" style="32302" width="3.7109375" hidden="1" customWidth="1"/>
    <col min="31" max="31" style="32302" width="11.7109375" hidden="1" customWidth="1"/>
    <col min="32" max="32" style="32302" width="8.57421875" hidden="1" customWidth="1"/>
    <col min="33" max="33" style="32302" width="19.7109375" customWidth="1"/>
    <col min="34" max="38" style="32343" width="19.7109375" customWidth="1"/>
    <col min="39" max="39" style="32302" width="19.7109375" customWidth="1"/>
    <col min="40" max="40" style="32302" width="11.7109375" customWidth="1"/>
    <col min="41" max="41" style="32302" width="3.7109375" customWidth="1"/>
    <col min="42" max="42" style="32302" width="11.7109375" customWidth="1"/>
    <col min="43" max="43" style="32302" width="8.57421875" customWidth="1"/>
    <col min="131" max="131" style="36744" width="10.57421875"/>
    <col min="153" max="153" style="36745" width="10.57421875" hidden="1"/>
    <col min="154" max="154" style="32302" width="4.7109375" customWidth="1"/>
    <col min="155" max="155" style="32302" width="115.7109375" customWidth="1"/>
    <col min="156" max="157" style="32289" width="10.57421875"/>
    <col min="158" max="158" style="32289" width="11.140625" customWidth="1"/>
    <col min="159" max="160" style="32289" width="10.57421875"/>
  </cols>
  <sheetData>
    <row customHeight="1" ht="14.25" hidden="1">
      <c r="AC1" s="688"/>
      <c r="AN1" s="688"/>
      <c r="AR1" s="6601"/>
      <c r="AS1" s="6601"/>
      <c r="AT1" s="6601"/>
      <c r="AU1" s="6601"/>
      <c r="AV1" s="6601"/>
      <c r="AW1" s="6601"/>
      <c r="AX1" s="6601"/>
      <c r="AY1" s="6601"/>
      <c r="AZ1" s="6601"/>
      <c r="BA1" s="6601"/>
      <c r="BB1" s="6601"/>
      <c r="BC1" s="6601"/>
      <c r="BD1" s="6601"/>
      <c r="BE1" s="6601"/>
      <c r="BF1" s="6601"/>
      <c r="BG1" s="6601"/>
      <c r="BH1" s="6601"/>
      <c r="BI1" s="6601"/>
      <c r="BJ1" s="6601"/>
      <c r="BK1" s="6601"/>
      <c r="BL1" s="6601"/>
      <c r="BM1" s="6601"/>
      <c r="BN1" s="6601"/>
      <c r="BO1" s="6601"/>
      <c r="BP1" s="6601"/>
      <c r="BQ1" s="6601"/>
      <c r="BR1" s="6601"/>
      <c r="BS1" s="6601"/>
      <c r="BT1" s="6601"/>
      <c r="BU1" s="6601"/>
      <c r="BV1" s="6601"/>
      <c r="BW1" s="6601"/>
      <c r="BX1" s="6601"/>
      <c r="BY1" s="6601"/>
      <c r="BZ1" s="6601"/>
      <c r="CA1" s="6601"/>
      <c r="CB1" s="6601"/>
      <c r="CC1" s="6601"/>
      <c r="CD1" s="6601"/>
      <c r="CE1" s="6601"/>
      <c r="CF1" s="6601"/>
      <c r="CG1" s="6601"/>
      <c r="CH1" s="6601"/>
      <c r="CI1" s="6601"/>
      <c r="CJ1" s="6601"/>
      <c r="CK1" s="6601"/>
      <c r="CL1" s="6601"/>
      <c r="CM1" s="6601"/>
      <c r="CN1" s="6601"/>
      <c r="CO1" s="6601"/>
      <c r="CP1" s="6601"/>
      <c r="CQ1" s="6601"/>
      <c r="CR1" s="6601"/>
      <c r="CS1" s="6601"/>
      <c r="CT1" s="6601"/>
      <c r="CU1" s="6601"/>
      <c r="CV1" s="6601"/>
      <c r="CW1" s="6601"/>
      <c r="CX1" s="6601"/>
      <c r="CY1" s="6601"/>
      <c r="CZ1" s="6601"/>
      <c r="DA1" s="6601"/>
      <c r="DB1" s="6601"/>
      <c r="DC1" s="6601"/>
      <c r="DD1" s="6601"/>
      <c r="DE1" s="6601"/>
      <c r="DF1" s="6601"/>
      <c r="DG1" s="6601"/>
      <c r="DH1" s="6601"/>
      <c r="DI1" s="6601"/>
      <c r="DJ1" s="6601"/>
      <c r="DK1" s="6601"/>
      <c r="DL1" s="6601"/>
      <c r="DM1" s="6601"/>
      <c r="DN1" s="6601"/>
      <c r="DO1" s="6601"/>
      <c r="DP1" s="6601"/>
      <c r="DQ1" s="6601"/>
      <c r="DR1" s="6601"/>
      <c r="DS1" s="6601"/>
      <c r="DT1" s="6601"/>
      <c r="DU1" s="6601"/>
      <c r="DV1" s="6601"/>
      <c r="DW1" s="6601"/>
      <c r="DX1" s="6601"/>
      <c r="DY1" s="6601"/>
      <c r="DZ1" s="6601"/>
      <c r="EA1" s="6601"/>
      <c r="EB1" s="18868"/>
      <c r="EC1" s="18868"/>
      <c r="ED1" s="18868"/>
      <c r="EE1" s="18868"/>
      <c r="EF1" s="18868"/>
      <c r="EG1" s="18868"/>
      <c r="EH1" s="18868"/>
      <c r="EI1" s="18868"/>
      <c r="EJ1" s="18868"/>
      <c r="EK1" s="18868"/>
      <c r="EL1" s="18868"/>
      <c r="EM1" s="18868"/>
      <c r="EN1" s="18868"/>
      <c r="EO1" s="18868"/>
      <c r="EP1" s="18868"/>
      <c r="EQ1" s="18868"/>
      <c r="ER1" s="18868"/>
      <c r="ES1" s="18868"/>
      <c r="ET1" s="18868"/>
      <c r="EU1" s="18868"/>
      <c r="EV1" s="18868"/>
      <c r="EW1" s="18868"/>
    </row>
    <row customHeight="1" ht="23.25" hidden="1">
      <c r="A2" s="1729"/>
      <c r="B2" s="1729"/>
      <c r="C2" s="1729"/>
      <c r="D2" s="1729"/>
      <c r="E2" s="2527">
        <v>1</v>
      </c>
      <c r="F2" s="1729"/>
      <c r="G2" s="1729"/>
      <c r="H2" s="1729"/>
      <c r="I2" s="1729"/>
      <c r="J2" s="1729"/>
      <c r="K2" s="1729"/>
      <c r="L2" s="1730"/>
      <c r="M2" s="1731"/>
      <c r="N2" s="1731"/>
      <c r="O2" s="1731"/>
      <c r="P2" s="722"/>
      <c r="Q2" s="721"/>
      <c r="R2" s="716"/>
      <c r="S2" s="1859">
        <f>INDEX(PT_DIFFERENTIATION_NUM_NTAR,MATCH(A2,PT_DIFFERENTIATION_NTAR_ID,0))</f>
      </c>
      <c r="T2" s="659" t="s">
        <v>131</v>
      </c>
      <c r="U2" s="661"/>
      <c r="V2" s="2521"/>
      <c r="W2" s="2522"/>
      <c r="X2" s="2522"/>
      <c r="Y2" s="2522"/>
      <c r="Z2" s="2522"/>
      <c r="AA2" s="2522"/>
      <c r="AB2" s="2522"/>
      <c r="AC2" s="2522"/>
      <c r="AD2" s="2522"/>
      <c r="AE2" s="2522"/>
      <c r="AF2" s="2523"/>
      <c r="AG2" s="2521">
        <f>INDEX(PT_DIFFERENTIATION_NTAR,MATCH(A2,PT_DIFFERENTIATION_NTAR_ID,0))</f>
      </c>
      <c r="AH2" s="2522"/>
      <c r="AI2" s="2522"/>
      <c r="AJ2" s="2522"/>
      <c r="AK2" s="2522"/>
      <c r="AL2" s="2522"/>
      <c r="AM2" s="2522"/>
      <c r="AN2" s="2522"/>
      <c r="AO2" s="2522"/>
      <c r="AP2" s="2522"/>
      <c r="AQ2" s="2522"/>
      <c r="AR2" s="6602"/>
      <c r="AS2" s="6603"/>
      <c r="AT2" s="6603"/>
      <c r="AU2" s="6603"/>
      <c r="AV2" s="6603"/>
      <c r="AW2" s="6603"/>
      <c r="AX2" s="6603"/>
      <c r="AY2" s="6603"/>
      <c r="AZ2" s="6603"/>
      <c r="BA2" s="6603"/>
      <c r="BB2" s="6604"/>
      <c r="BC2" s="6602"/>
      <c r="BD2" s="6603"/>
      <c r="BE2" s="6603"/>
      <c r="BF2" s="6603"/>
      <c r="BG2" s="6603"/>
      <c r="BH2" s="6603"/>
      <c r="BI2" s="6603"/>
      <c r="BJ2" s="6603"/>
      <c r="BK2" s="6603"/>
      <c r="BL2" s="6603"/>
      <c r="BM2" s="6604"/>
      <c r="BN2" s="6602"/>
      <c r="BO2" s="6603"/>
      <c r="BP2" s="6603"/>
      <c r="BQ2" s="6603"/>
      <c r="BR2" s="6603"/>
      <c r="BS2" s="6603"/>
      <c r="BT2" s="6603"/>
      <c r="BU2" s="6603"/>
      <c r="BV2" s="6603"/>
      <c r="BW2" s="6603"/>
      <c r="BX2" s="6604"/>
      <c r="BY2" s="6602"/>
      <c r="BZ2" s="6603"/>
      <c r="CA2" s="6603"/>
      <c r="CB2" s="6603"/>
      <c r="CC2" s="6603"/>
      <c r="CD2" s="6603"/>
      <c r="CE2" s="6603"/>
      <c r="CF2" s="6603"/>
      <c r="CG2" s="6603"/>
      <c r="CH2" s="6603"/>
      <c r="CI2" s="6604"/>
      <c r="CJ2" s="6602"/>
      <c r="CK2" s="6603"/>
      <c r="CL2" s="6603"/>
      <c r="CM2" s="6603"/>
      <c r="CN2" s="6603"/>
      <c r="CO2" s="6603"/>
      <c r="CP2" s="6603"/>
      <c r="CQ2" s="6603"/>
      <c r="CR2" s="6603"/>
      <c r="CS2" s="6603"/>
      <c r="CT2" s="6604"/>
      <c r="CU2" s="6602"/>
      <c r="CV2" s="6603"/>
      <c r="CW2" s="6603"/>
      <c r="CX2" s="6603"/>
      <c r="CY2" s="6603"/>
      <c r="CZ2" s="6603"/>
      <c r="DA2" s="6603"/>
      <c r="DB2" s="6603"/>
      <c r="DC2" s="6603"/>
      <c r="DD2" s="6603"/>
      <c r="DE2" s="6604"/>
      <c r="DF2" s="6602"/>
      <c r="DG2" s="6603"/>
      <c r="DH2" s="6603"/>
      <c r="DI2" s="6603"/>
      <c r="DJ2" s="6603"/>
      <c r="DK2" s="6603"/>
      <c r="DL2" s="6603"/>
      <c r="DM2" s="6603"/>
      <c r="DN2" s="6603"/>
      <c r="DO2" s="6603"/>
      <c r="DP2" s="6604"/>
      <c r="DQ2" s="6602"/>
      <c r="DR2" s="6603"/>
      <c r="DS2" s="6603"/>
      <c r="DT2" s="6603"/>
      <c r="DU2" s="6603"/>
      <c r="DV2" s="6603"/>
      <c r="DW2" s="6603"/>
      <c r="DX2" s="6603"/>
      <c r="DY2" s="6603"/>
      <c r="DZ2" s="6603"/>
      <c r="EA2" s="6604"/>
      <c r="EB2" s="18872"/>
      <c r="EC2" s="18873"/>
      <c r="ED2" s="18873"/>
      <c r="EE2" s="18873"/>
      <c r="EF2" s="18873"/>
      <c r="EG2" s="18873"/>
      <c r="EH2" s="18873"/>
      <c r="EI2" s="18873"/>
      <c r="EJ2" s="18873"/>
      <c r="EK2" s="18873"/>
      <c r="EL2" s="18874"/>
      <c r="EM2" s="18872"/>
      <c r="EN2" s="18873"/>
      <c r="EO2" s="18873"/>
      <c r="EP2" s="18873"/>
      <c r="EQ2" s="18873"/>
      <c r="ER2" s="18873"/>
      <c r="ES2" s="18873"/>
      <c r="ET2" s="18873"/>
      <c r="EU2" s="18873"/>
      <c r="EV2" s="18873"/>
      <c r="EW2" s="18874"/>
      <c r="EX2" s="2523"/>
      <c r="EY2"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FA2" s="861"/>
      <c r="FB2" s="861" t="str">
        <f>IF(T2="","",T2)</f>
        <v>Наименование тарифа</v>
      </c>
      <c r="FC2" s="861"/>
      <c r="FD2" s="861"/>
    </row>
    <row customHeight="1" ht="23.25" hidden="1">
      <c r="A3" s="1729"/>
      <c r="B3" s="1729"/>
      <c r="C3" s="1729"/>
      <c r="D3" s="1729"/>
      <c r="E3" s="2528"/>
      <c r="F3" s="2527">
        <v>1</v>
      </c>
      <c r="G3" s="1729"/>
      <c r="H3" s="1729"/>
      <c r="I3" s="1729"/>
      <c r="J3" s="1729"/>
      <c r="K3" s="1729"/>
      <c r="L3" s="1730"/>
      <c r="M3" s="1731"/>
      <c r="N3" s="1731"/>
      <c r="O3" s="1731"/>
      <c r="P3" s="1853"/>
      <c r="Q3" s="713"/>
      <c r="R3" s="714"/>
      <c r="S3" s="1859">
        <f>INDEX(PT_DIFFERENTIATION_NUM_TER,MATCH(B3,PT_DIFFERENTIATION_TER_ID,0))</f>
      </c>
      <c r="T3" s="669" t="s">
        <v>438</v>
      </c>
      <c r="U3" s="661"/>
      <c r="V3" s="2521"/>
      <c r="W3" s="2522"/>
      <c r="X3" s="2522"/>
      <c r="Y3" s="2522"/>
      <c r="Z3" s="2522"/>
      <c r="AA3" s="2522"/>
      <c r="AB3" s="2522"/>
      <c r="AC3" s="2522"/>
      <c r="AD3" s="2522"/>
      <c r="AE3" s="2522"/>
      <c r="AF3" s="2523"/>
      <c r="AG3" s="2521">
        <f>INDEX(PT_DIFFERENTIATION_TER,MATCH(B3,PT_DIFFERENTIATION_TER_ID,0))</f>
      </c>
      <c r="AH3" s="2522"/>
      <c r="AI3" s="2522"/>
      <c r="AJ3" s="2522"/>
      <c r="AK3" s="2522"/>
      <c r="AL3" s="2522"/>
      <c r="AM3" s="2522"/>
      <c r="AN3" s="2522"/>
      <c r="AO3" s="2522"/>
      <c r="AP3" s="2522"/>
      <c r="AQ3" s="2522"/>
      <c r="AR3" s="6602"/>
      <c r="AS3" s="6603"/>
      <c r="AT3" s="6603"/>
      <c r="AU3" s="6603"/>
      <c r="AV3" s="6603"/>
      <c r="AW3" s="6603"/>
      <c r="AX3" s="6603"/>
      <c r="AY3" s="6603"/>
      <c r="AZ3" s="6603"/>
      <c r="BA3" s="6603"/>
      <c r="BB3" s="6604"/>
      <c r="BC3" s="6602"/>
      <c r="BD3" s="6603"/>
      <c r="BE3" s="6603"/>
      <c r="BF3" s="6603"/>
      <c r="BG3" s="6603"/>
      <c r="BH3" s="6603"/>
      <c r="BI3" s="6603"/>
      <c r="BJ3" s="6603"/>
      <c r="BK3" s="6603"/>
      <c r="BL3" s="6603"/>
      <c r="BM3" s="6604"/>
      <c r="BN3" s="6602"/>
      <c r="BO3" s="6603"/>
      <c r="BP3" s="6603"/>
      <c r="BQ3" s="6603"/>
      <c r="BR3" s="6603"/>
      <c r="BS3" s="6603"/>
      <c r="BT3" s="6603"/>
      <c r="BU3" s="6603"/>
      <c r="BV3" s="6603"/>
      <c r="BW3" s="6603"/>
      <c r="BX3" s="6604"/>
      <c r="BY3" s="6602"/>
      <c r="BZ3" s="6603"/>
      <c r="CA3" s="6603"/>
      <c r="CB3" s="6603"/>
      <c r="CC3" s="6603"/>
      <c r="CD3" s="6603"/>
      <c r="CE3" s="6603"/>
      <c r="CF3" s="6603"/>
      <c r="CG3" s="6603"/>
      <c r="CH3" s="6603"/>
      <c r="CI3" s="6604"/>
      <c r="CJ3" s="6602"/>
      <c r="CK3" s="6603"/>
      <c r="CL3" s="6603"/>
      <c r="CM3" s="6603"/>
      <c r="CN3" s="6603"/>
      <c r="CO3" s="6603"/>
      <c r="CP3" s="6603"/>
      <c r="CQ3" s="6603"/>
      <c r="CR3" s="6603"/>
      <c r="CS3" s="6603"/>
      <c r="CT3" s="6604"/>
      <c r="CU3" s="6602"/>
      <c r="CV3" s="6603"/>
      <c r="CW3" s="6603"/>
      <c r="CX3" s="6603"/>
      <c r="CY3" s="6603"/>
      <c r="CZ3" s="6603"/>
      <c r="DA3" s="6603"/>
      <c r="DB3" s="6603"/>
      <c r="DC3" s="6603"/>
      <c r="DD3" s="6603"/>
      <c r="DE3" s="6604"/>
      <c r="DF3" s="6602"/>
      <c r="DG3" s="6603"/>
      <c r="DH3" s="6603"/>
      <c r="DI3" s="6603"/>
      <c r="DJ3" s="6603"/>
      <c r="DK3" s="6603"/>
      <c r="DL3" s="6603"/>
      <c r="DM3" s="6603"/>
      <c r="DN3" s="6603"/>
      <c r="DO3" s="6603"/>
      <c r="DP3" s="6604"/>
      <c r="DQ3" s="6602"/>
      <c r="DR3" s="6603"/>
      <c r="DS3" s="6603"/>
      <c r="DT3" s="6603"/>
      <c r="DU3" s="6603"/>
      <c r="DV3" s="6603"/>
      <c r="DW3" s="6603"/>
      <c r="DX3" s="6603"/>
      <c r="DY3" s="6603"/>
      <c r="DZ3" s="6603"/>
      <c r="EA3" s="6604"/>
      <c r="EB3" s="18872"/>
      <c r="EC3" s="18873"/>
      <c r="ED3" s="18873"/>
      <c r="EE3" s="18873"/>
      <c r="EF3" s="18873"/>
      <c r="EG3" s="18873"/>
      <c r="EH3" s="18873"/>
      <c r="EI3" s="18873"/>
      <c r="EJ3" s="18873"/>
      <c r="EK3" s="18873"/>
      <c r="EL3" s="18874"/>
      <c r="EM3" s="18872"/>
      <c r="EN3" s="18873"/>
      <c r="EO3" s="18873"/>
      <c r="EP3" s="18873"/>
      <c r="EQ3" s="18873"/>
      <c r="ER3" s="18873"/>
      <c r="ES3" s="18873"/>
      <c r="ET3" s="18873"/>
      <c r="EU3" s="18873"/>
      <c r="EV3" s="18873"/>
      <c r="EW3" s="18874"/>
      <c r="EX3" s="2523"/>
      <c r="EY3" s="1623" t="s">
        <v>439</v>
      </c>
      <c r="FA3" s="861"/>
      <c r="FB3" s="861" t="str">
        <f>IF(T3="","",T3)</f>
        <v>Территория действия тарифа</v>
      </c>
      <c r="FC3" s="861"/>
      <c r="FD3" s="861"/>
    </row>
    <row customHeight="1" ht="23.25" hidden="1">
      <c r="A4" s="1729"/>
      <c r="B4" s="1729"/>
      <c r="C4" s="1729"/>
      <c r="D4" s="1729"/>
      <c r="E4" s="2528"/>
      <c r="F4" s="2528"/>
      <c r="G4" s="2527">
        <v>1</v>
      </c>
      <c r="H4" s="1729"/>
      <c r="I4" s="1729"/>
      <c r="J4" s="1729"/>
      <c r="K4" s="1729"/>
      <c r="L4" s="1730"/>
      <c r="M4" s="1731"/>
      <c r="N4" s="1731"/>
      <c r="O4" s="1731"/>
      <c r="P4" s="715"/>
      <c r="Q4" s="713"/>
      <c r="R4" s="714"/>
      <c r="S4" s="1859">
        <f>INDEX(PT_DIFFERENTIATION_NUM_CS,MATCH(C4,PT_DIFFERENTIATION_CS_ID,0))</f>
      </c>
      <c r="T4" s="670" t="s">
        <v>569</v>
      </c>
      <c r="U4" s="661"/>
      <c r="V4" s="2521"/>
      <c r="W4" s="2522"/>
      <c r="X4" s="2522"/>
      <c r="Y4" s="2522"/>
      <c r="Z4" s="2522"/>
      <c r="AA4" s="2522"/>
      <c r="AB4" s="2522"/>
      <c r="AC4" s="2522"/>
      <c r="AD4" s="2522"/>
      <c r="AE4" s="2522"/>
      <c r="AF4" s="2523"/>
      <c r="AG4" s="2521">
        <f>INDEX(PT_DIFFERENTIATION_CS,MATCH(C4,PT_DIFFERENTIATION_CS_ID,0))</f>
      </c>
      <c r="AH4" s="2522"/>
      <c r="AI4" s="2522"/>
      <c r="AJ4" s="2522"/>
      <c r="AK4" s="2522"/>
      <c r="AL4" s="2522"/>
      <c r="AM4" s="2522"/>
      <c r="AN4" s="2522"/>
      <c r="AO4" s="2522"/>
      <c r="AP4" s="2522"/>
      <c r="AQ4" s="2522"/>
      <c r="AR4" s="6602"/>
      <c r="AS4" s="6603"/>
      <c r="AT4" s="6603"/>
      <c r="AU4" s="6603"/>
      <c r="AV4" s="6603"/>
      <c r="AW4" s="6603"/>
      <c r="AX4" s="6603"/>
      <c r="AY4" s="6603"/>
      <c r="AZ4" s="6603"/>
      <c r="BA4" s="6603"/>
      <c r="BB4" s="6604"/>
      <c r="BC4" s="6602"/>
      <c r="BD4" s="6603"/>
      <c r="BE4" s="6603"/>
      <c r="BF4" s="6603"/>
      <c r="BG4" s="6603"/>
      <c r="BH4" s="6603"/>
      <c r="BI4" s="6603"/>
      <c r="BJ4" s="6603"/>
      <c r="BK4" s="6603"/>
      <c r="BL4" s="6603"/>
      <c r="BM4" s="6604"/>
      <c r="BN4" s="6602"/>
      <c r="BO4" s="6603"/>
      <c r="BP4" s="6603"/>
      <c r="BQ4" s="6603"/>
      <c r="BR4" s="6603"/>
      <c r="BS4" s="6603"/>
      <c r="BT4" s="6603"/>
      <c r="BU4" s="6603"/>
      <c r="BV4" s="6603"/>
      <c r="BW4" s="6603"/>
      <c r="BX4" s="6604"/>
      <c r="BY4" s="6602"/>
      <c r="BZ4" s="6603"/>
      <c r="CA4" s="6603"/>
      <c r="CB4" s="6603"/>
      <c r="CC4" s="6603"/>
      <c r="CD4" s="6603"/>
      <c r="CE4" s="6603"/>
      <c r="CF4" s="6603"/>
      <c r="CG4" s="6603"/>
      <c r="CH4" s="6603"/>
      <c r="CI4" s="6604"/>
      <c r="CJ4" s="6602"/>
      <c r="CK4" s="6603"/>
      <c r="CL4" s="6603"/>
      <c r="CM4" s="6603"/>
      <c r="CN4" s="6603"/>
      <c r="CO4" s="6603"/>
      <c r="CP4" s="6603"/>
      <c r="CQ4" s="6603"/>
      <c r="CR4" s="6603"/>
      <c r="CS4" s="6603"/>
      <c r="CT4" s="6604"/>
      <c r="CU4" s="6602"/>
      <c r="CV4" s="6603"/>
      <c r="CW4" s="6603"/>
      <c r="CX4" s="6603"/>
      <c r="CY4" s="6603"/>
      <c r="CZ4" s="6603"/>
      <c r="DA4" s="6603"/>
      <c r="DB4" s="6603"/>
      <c r="DC4" s="6603"/>
      <c r="DD4" s="6603"/>
      <c r="DE4" s="6604"/>
      <c r="DF4" s="6602"/>
      <c r="DG4" s="6603"/>
      <c r="DH4" s="6603"/>
      <c r="DI4" s="6603"/>
      <c r="DJ4" s="6603"/>
      <c r="DK4" s="6603"/>
      <c r="DL4" s="6603"/>
      <c r="DM4" s="6603"/>
      <c r="DN4" s="6603"/>
      <c r="DO4" s="6603"/>
      <c r="DP4" s="6604"/>
      <c r="DQ4" s="6602"/>
      <c r="DR4" s="6603"/>
      <c r="DS4" s="6603"/>
      <c r="DT4" s="6603"/>
      <c r="DU4" s="6603"/>
      <c r="DV4" s="6603"/>
      <c r="DW4" s="6603"/>
      <c r="DX4" s="6603"/>
      <c r="DY4" s="6603"/>
      <c r="DZ4" s="6603"/>
      <c r="EA4" s="6604"/>
      <c r="EB4" s="18872"/>
      <c r="EC4" s="18873"/>
      <c r="ED4" s="18873"/>
      <c r="EE4" s="18873"/>
      <c r="EF4" s="18873"/>
      <c r="EG4" s="18873"/>
      <c r="EH4" s="18873"/>
      <c r="EI4" s="18873"/>
      <c r="EJ4" s="18873"/>
      <c r="EK4" s="18873"/>
      <c r="EL4" s="18874"/>
      <c r="EM4" s="18872"/>
      <c r="EN4" s="18873"/>
      <c r="EO4" s="18873"/>
      <c r="EP4" s="18873"/>
      <c r="EQ4" s="18873"/>
      <c r="ER4" s="18873"/>
      <c r="ES4" s="18873"/>
      <c r="ET4" s="18873"/>
      <c r="EU4" s="18873"/>
      <c r="EV4" s="18873"/>
      <c r="EW4" s="18874"/>
      <c r="EX4" s="2523"/>
      <c r="EY4" s="1623" t="s">
        <v>570</v>
      </c>
      <c r="FA4" s="861"/>
      <c r="FB4" s="861" t="str">
        <f>IF(T4="","",T4)</f>
        <v>Наименование централизованной системы горячего водоснабжения</v>
      </c>
      <c r="FC4" s="861"/>
      <c r="FD4" s="861"/>
    </row>
    <row customHeight="1" ht="23.25" hidden="1">
      <c r="A5" s="1729"/>
      <c r="B5" s="1729"/>
      <c r="C5" s="1729"/>
      <c r="D5" s="1729"/>
      <c r="E5" s="2528"/>
      <c r="F5" s="2528"/>
      <c r="G5" s="2528"/>
      <c r="H5" s="2528"/>
      <c r="I5" s="2529">
        <f>S4&amp;".1"</f>
      </c>
      <c r="J5" s="1729"/>
      <c r="K5" s="1729"/>
      <c r="L5" s="1730"/>
      <c r="P5" s="2531">
        <v>1</v>
      </c>
      <c r="Q5" s="1847"/>
      <c r="R5" s="717"/>
      <c r="S5" s="1859">
        <f>$I5</f>
      </c>
      <c r="T5" s="646" t="s">
        <v>522</v>
      </c>
      <c r="U5" s="661"/>
      <c r="V5" s="2614"/>
      <c r="W5" s="2615"/>
      <c r="X5" s="2615"/>
      <c r="Y5" s="2615"/>
      <c r="Z5" s="2615"/>
      <c r="AA5" s="2615"/>
      <c r="AB5" s="2615"/>
      <c r="AC5" s="2615"/>
      <c r="AD5" s="2615"/>
      <c r="AE5" s="2615"/>
      <c r="AF5" s="2616"/>
      <c r="AG5" s="2617"/>
      <c r="AH5" s="2618"/>
      <c r="AI5" s="2618"/>
      <c r="AJ5" s="2618"/>
      <c r="AK5" s="2618"/>
      <c r="AL5" s="2618"/>
      <c r="AM5" s="2618"/>
      <c r="AN5" s="2618"/>
      <c r="AO5" s="2618"/>
      <c r="AP5" s="2618"/>
      <c r="AQ5" s="2618"/>
      <c r="AR5" s="6605"/>
      <c r="AS5" s="6606"/>
      <c r="AT5" s="6606"/>
      <c r="AU5" s="6606"/>
      <c r="AV5" s="6606"/>
      <c r="AW5" s="6606"/>
      <c r="AX5" s="6606"/>
      <c r="AY5" s="6606"/>
      <c r="AZ5" s="6606"/>
      <c r="BA5" s="6606"/>
      <c r="BB5" s="6607"/>
      <c r="BC5" s="6605"/>
      <c r="BD5" s="6606"/>
      <c r="BE5" s="6606"/>
      <c r="BF5" s="6606"/>
      <c r="BG5" s="6606"/>
      <c r="BH5" s="6606"/>
      <c r="BI5" s="6606"/>
      <c r="BJ5" s="6606"/>
      <c r="BK5" s="6606"/>
      <c r="BL5" s="6606"/>
      <c r="BM5" s="6607"/>
      <c r="BN5" s="6605"/>
      <c r="BO5" s="6606"/>
      <c r="BP5" s="6606"/>
      <c r="BQ5" s="6606"/>
      <c r="BR5" s="6606"/>
      <c r="BS5" s="6606"/>
      <c r="BT5" s="6606"/>
      <c r="BU5" s="6606"/>
      <c r="BV5" s="6606"/>
      <c r="BW5" s="6606"/>
      <c r="BX5" s="6607"/>
      <c r="BY5" s="6605"/>
      <c r="BZ5" s="6606"/>
      <c r="CA5" s="6606"/>
      <c r="CB5" s="6606"/>
      <c r="CC5" s="6606"/>
      <c r="CD5" s="6606"/>
      <c r="CE5" s="6606"/>
      <c r="CF5" s="6606"/>
      <c r="CG5" s="6606"/>
      <c r="CH5" s="6606"/>
      <c r="CI5" s="6607"/>
      <c r="CJ5" s="6605"/>
      <c r="CK5" s="6606"/>
      <c r="CL5" s="6606"/>
      <c r="CM5" s="6606"/>
      <c r="CN5" s="6606"/>
      <c r="CO5" s="6606"/>
      <c r="CP5" s="6606"/>
      <c r="CQ5" s="6606"/>
      <c r="CR5" s="6606"/>
      <c r="CS5" s="6606"/>
      <c r="CT5" s="6607"/>
      <c r="CU5" s="6605"/>
      <c r="CV5" s="6606"/>
      <c r="CW5" s="6606"/>
      <c r="CX5" s="6606"/>
      <c r="CY5" s="6606"/>
      <c r="CZ5" s="6606"/>
      <c r="DA5" s="6606"/>
      <c r="DB5" s="6606"/>
      <c r="DC5" s="6606"/>
      <c r="DD5" s="6606"/>
      <c r="DE5" s="6607"/>
      <c r="DF5" s="6605"/>
      <c r="DG5" s="6606"/>
      <c r="DH5" s="6606"/>
      <c r="DI5" s="6606"/>
      <c r="DJ5" s="6606"/>
      <c r="DK5" s="6606"/>
      <c r="DL5" s="6606"/>
      <c r="DM5" s="6606"/>
      <c r="DN5" s="6606"/>
      <c r="DO5" s="6606"/>
      <c r="DP5" s="6607"/>
      <c r="DQ5" s="6605"/>
      <c r="DR5" s="6606"/>
      <c r="DS5" s="6606"/>
      <c r="DT5" s="6606"/>
      <c r="DU5" s="6606"/>
      <c r="DV5" s="6606"/>
      <c r="DW5" s="6606"/>
      <c r="DX5" s="6606"/>
      <c r="DY5" s="6606"/>
      <c r="DZ5" s="6606"/>
      <c r="EA5" s="6607"/>
      <c r="EB5" s="18878"/>
      <c r="EC5" s="18879"/>
      <c r="ED5" s="18879"/>
      <c r="EE5" s="18879"/>
      <c r="EF5" s="18879"/>
      <c r="EG5" s="18879"/>
      <c r="EH5" s="18879"/>
      <c r="EI5" s="18879"/>
      <c r="EJ5" s="18879"/>
      <c r="EK5" s="18879"/>
      <c r="EL5" s="18880"/>
      <c r="EM5" s="18878"/>
      <c r="EN5" s="18879"/>
      <c r="EO5" s="18879"/>
      <c r="EP5" s="18879"/>
      <c r="EQ5" s="18879"/>
      <c r="ER5" s="18879"/>
      <c r="ES5" s="18879"/>
      <c r="ET5" s="18879"/>
      <c r="EU5" s="18879"/>
      <c r="EV5" s="18879"/>
      <c r="EW5" s="18880"/>
      <c r="EX5" s="2619"/>
      <c r="EY5" s="1623" t="s">
        <v>523</v>
      </c>
      <c r="FA5" s="861"/>
      <c r="FB5" s="861" t="str">
        <f>IF(T5="","",T5)</f>
        <v>Наименование признака дифференциации</v>
      </c>
      <c r="FC5" s="861"/>
      <c r="FD5" s="861"/>
    </row>
    <row customHeight="1" ht="23.25" hidden="1">
      <c r="A6" s="1729"/>
      <c r="B6" s="1729"/>
      <c r="C6" s="1729"/>
      <c r="D6" s="1729"/>
      <c r="E6" s="2528"/>
      <c r="F6" s="2528"/>
      <c r="G6" s="2528"/>
      <c r="H6" s="2528"/>
      <c r="I6" s="2530"/>
      <c r="J6" s="2529">
        <f>I5&amp;".1"</f>
      </c>
      <c r="K6" s="1729"/>
      <c r="L6" s="1730" t="s">
        <v>447</v>
      </c>
      <c r="P6" s="2531"/>
      <c r="Q6" s="2531">
        <v>1</v>
      </c>
      <c r="R6" s="718"/>
      <c r="S6" s="1859">
        <f>$J6</f>
      </c>
      <c r="T6" s="647" t="s">
        <v>448</v>
      </c>
      <c r="U6" s="661"/>
      <c r="V6" s="2515"/>
      <c r="W6" s="2516"/>
      <c r="X6" s="2516"/>
      <c r="Y6" s="2516"/>
      <c r="Z6" s="2516"/>
      <c r="AA6" s="2516"/>
      <c r="AB6" s="2516"/>
      <c r="AC6" s="2516"/>
      <c r="AD6" s="2516"/>
      <c r="AE6" s="2516"/>
      <c r="AF6" s="2517"/>
      <c r="AG6" s="2515"/>
      <c r="AH6" s="2516"/>
      <c r="AI6" s="2516"/>
      <c r="AJ6" s="2516"/>
      <c r="AK6" s="2516"/>
      <c r="AL6" s="2516"/>
      <c r="AM6" s="2516"/>
      <c r="AN6" s="2516"/>
      <c r="AO6" s="2516"/>
      <c r="AP6" s="2516"/>
      <c r="AQ6" s="2516"/>
      <c r="AR6" s="6608"/>
      <c r="AS6" s="6609"/>
      <c r="AT6" s="6609"/>
      <c r="AU6" s="6609"/>
      <c r="AV6" s="6609"/>
      <c r="AW6" s="6609"/>
      <c r="AX6" s="6609"/>
      <c r="AY6" s="6609"/>
      <c r="AZ6" s="6609"/>
      <c r="BA6" s="6609"/>
      <c r="BB6" s="6610"/>
      <c r="BC6" s="6608"/>
      <c r="BD6" s="6609"/>
      <c r="BE6" s="6609"/>
      <c r="BF6" s="6609"/>
      <c r="BG6" s="6609"/>
      <c r="BH6" s="6609"/>
      <c r="BI6" s="6609"/>
      <c r="BJ6" s="6609"/>
      <c r="BK6" s="6609"/>
      <c r="BL6" s="6609"/>
      <c r="BM6" s="6610"/>
      <c r="BN6" s="6608"/>
      <c r="BO6" s="6609"/>
      <c r="BP6" s="6609"/>
      <c r="BQ6" s="6609"/>
      <c r="BR6" s="6609"/>
      <c r="BS6" s="6609"/>
      <c r="BT6" s="6609"/>
      <c r="BU6" s="6609"/>
      <c r="BV6" s="6609"/>
      <c r="BW6" s="6609"/>
      <c r="BX6" s="6610"/>
      <c r="BY6" s="6608"/>
      <c r="BZ6" s="6609"/>
      <c r="CA6" s="6609"/>
      <c r="CB6" s="6609"/>
      <c r="CC6" s="6609"/>
      <c r="CD6" s="6609"/>
      <c r="CE6" s="6609"/>
      <c r="CF6" s="6609"/>
      <c r="CG6" s="6609"/>
      <c r="CH6" s="6609"/>
      <c r="CI6" s="6610"/>
      <c r="CJ6" s="6608"/>
      <c r="CK6" s="6609"/>
      <c r="CL6" s="6609"/>
      <c r="CM6" s="6609"/>
      <c r="CN6" s="6609"/>
      <c r="CO6" s="6609"/>
      <c r="CP6" s="6609"/>
      <c r="CQ6" s="6609"/>
      <c r="CR6" s="6609"/>
      <c r="CS6" s="6609"/>
      <c r="CT6" s="6610"/>
      <c r="CU6" s="6608"/>
      <c r="CV6" s="6609"/>
      <c r="CW6" s="6609"/>
      <c r="CX6" s="6609"/>
      <c r="CY6" s="6609"/>
      <c r="CZ6" s="6609"/>
      <c r="DA6" s="6609"/>
      <c r="DB6" s="6609"/>
      <c r="DC6" s="6609"/>
      <c r="DD6" s="6609"/>
      <c r="DE6" s="6610"/>
      <c r="DF6" s="6608"/>
      <c r="DG6" s="6609"/>
      <c r="DH6" s="6609"/>
      <c r="DI6" s="6609"/>
      <c r="DJ6" s="6609"/>
      <c r="DK6" s="6609"/>
      <c r="DL6" s="6609"/>
      <c r="DM6" s="6609"/>
      <c r="DN6" s="6609"/>
      <c r="DO6" s="6609"/>
      <c r="DP6" s="6610"/>
      <c r="DQ6" s="6608"/>
      <c r="DR6" s="6609"/>
      <c r="DS6" s="6609"/>
      <c r="DT6" s="6609"/>
      <c r="DU6" s="6609"/>
      <c r="DV6" s="6609"/>
      <c r="DW6" s="6609"/>
      <c r="DX6" s="6609"/>
      <c r="DY6" s="6609"/>
      <c r="DZ6" s="6609"/>
      <c r="EA6" s="6610"/>
      <c r="EB6" s="18884"/>
      <c r="EC6" s="18885"/>
      <c r="ED6" s="18885"/>
      <c r="EE6" s="18885"/>
      <c r="EF6" s="18885"/>
      <c r="EG6" s="18885"/>
      <c r="EH6" s="18885"/>
      <c r="EI6" s="18885"/>
      <c r="EJ6" s="18885"/>
      <c r="EK6" s="18885"/>
      <c r="EL6" s="18886"/>
      <c r="EM6" s="18884"/>
      <c r="EN6" s="18885"/>
      <c r="EO6" s="18885"/>
      <c r="EP6" s="18885"/>
      <c r="EQ6" s="18885"/>
      <c r="ER6" s="18885"/>
      <c r="ES6" s="18885"/>
      <c r="ET6" s="18885"/>
      <c r="EU6" s="18885"/>
      <c r="EV6" s="18885"/>
      <c r="EW6" s="18886"/>
      <c r="EX6" s="2517"/>
      <c r="EY6" s="1673" t="s">
        <v>524</v>
      </c>
      <c r="FA6" s="861"/>
      <c r="FB6" s="861" t="str">
        <f>IF(T6="","",T6)</f>
        <v>Группа потребителей</v>
      </c>
      <c r="FC6" s="861"/>
      <c r="FD6" s="861"/>
    </row>
    <row customHeight="1" ht="23.25" hidden="1">
      <c r="A7" s="1729"/>
      <c r="B7" s="1729"/>
      <c r="C7" s="1729"/>
      <c r="D7" s="1729"/>
      <c r="E7" s="2528"/>
      <c r="F7" s="2528"/>
      <c r="G7" s="2528"/>
      <c r="H7" s="2528"/>
      <c r="I7" s="2530"/>
      <c r="J7" s="2530"/>
      <c r="K7" s="2529">
        <f>J6&amp;".1"</f>
      </c>
      <c r="L7" s="1730"/>
      <c r="P7" s="2531"/>
      <c r="Q7" s="2531"/>
      <c r="R7" s="718">
        <v>1</v>
      </c>
      <c r="S7" s="1859">
        <f>$K7</f>
      </c>
      <c r="T7" s="1803"/>
      <c r="U7" s="661"/>
      <c r="V7" s="1112"/>
      <c r="W7" s="1112"/>
      <c r="X7" s="1112"/>
      <c r="Y7" s="1112"/>
      <c r="Z7" s="1112"/>
      <c r="AA7" s="1112"/>
      <c r="AB7" s="1112"/>
      <c r="AC7" s="2532"/>
      <c r="AD7" s="2402" t="s">
        <v>66</v>
      </c>
      <c r="AE7" s="2532"/>
      <c r="AF7" s="2402" t="s">
        <v>66</v>
      </c>
      <c r="AG7" s="1112"/>
      <c r="AH7" s="1112"/>
      <c r="AI7" s="1112"/>
      <c r="AJ7" s="1112"/>
      <c r="AK7" s="1112"/>
      <c r="AL7" s="1112"/>
      <c r="AM7" s="1112"/>
      <c r="AN7" s="2532"/>
      <c r="AO7" s="2402" t="s">
        <v>66</v>
      </c>
      <c r="AP7" s="2534"/>
      <c r="AQ7" s="2402" t="s">
        <v>66</v>
      </c>
      <c r="AR7" s="6611"/>
      <c r="AS7" s="6611"/>
      <c r="AT7" s="6611"/>
      <c r="AU7" s="6611"/>
      <c r="AV7" s="6611"/>
      <c r="AW7" s="6611"/>
      <c r="AX7" s="6611"/>
      <c r="AY7" s="6612"/>
      <c r="AZ7" s="6613" t="s">
        <v>66</v>
      </c>
      <c r="BA7" s="6612"/>
      <c r="BB7" s="6613" t="s">
        <v>66</v>
      </c>
      <c r="BC7" s="6611"/>
      <c r="BD7" s="6611"/>
      <c r="BE7" s="6611"/>
      <c r="BF7" s="6611"/>
      <c r="BG7" s="6611"/>
      <c r="BH7" s="6611"/>
      <c r="BI7" s="6611"/>
      <c r="BJ7" s="6612"/>
      <c r="BK7" s="6613" t="s">
        <v>66</v>
      </c>
      <c r="BL7" s="6612"/>
      <c r="BM7" s="6613" t="s">
        <v>66</v>
      </c>
      <c r="BN7" s="6611"/>
      <c r="BO7" s="6611"/>
      <c r="BP7" s="6611"/>
      <c r="BQ7" s="6611"/>
      <c r="BR7" s="6611"/>
      <c r="BS7" s="6611"/>
      <c r="BT7" s="6611"/>
      <c r="BU7" s="6612"/>
      <c r="BV7" s="6613" t="s">
        <v>66</v>
      </c>
      <c r="BW7" s="6612"/>
      <c r="BX7" s="6613" t="s">
        <v>66</v>
      </c>
      <c r="BY7" s="6611"/>
      <c r="BZ7" s="6611"/>
      <c r="CA7" s="6611"/>
      <c r="CB7" s="6611"/>
      <c r="CC7" s="6611"/>
      <c r="CD7" s="6611"/>
      <c r="CE7" s="6611"/>
      <c r="CF7" s="6612"/>
      <c r="CG7" s="6613" t="s">
        <v>66</v>
      </c>
      <c r="CH7" s="6612"/>
      <c r="CI7" s="6613" t="s">
        <v>66</v>
      </c>
      <c r="CJ7" s="6611"/>
      <c r="CK7" s="6611"/>
      <c r="CL7" s="6611"/>
      <c r="CM7" s="6611"/>
      <c r="CN7" s="6611"/>
      <c r="CO7" s="6611"/>
      <c r="CP7" s="6611"/>
      <c r="CQ7" s="6612"/>
      <c r="CR7" s="6613" t="s">
        <v>66</v>
      </c>
      <c r="CS7" s="6612"/>
      <c r="CT7" s="6613" t="s">
        <v>66</v>
      </c>
      <c r="CU7" s="6611"/>
      <c r="CV7" s="6611"/>
      <c r="CW7" s="6611"/>
      <c r="CX7" s="6611"/>
      <c r="CY7" s="6611"/>
      <c r="CZ7" s="6611"/>
      <c r="DA7" s="6611"/>
      <c r="DB7" s="6612"/>
      <c r="DC7" s="6613" t="s">
        <v>66</v>
      </c>
      <c r="DD7" s="6612"/>
      <c r="DE7" s="6613" t="s">
        <v>66</v>
      </c>
      <c r="DF7" s="6611"/>
      <c r="DG7" s="6611"/>
      <c r="DH7" s="6611"/>
      <c r="DI7" s="6611"/>
      <c r="DJ7" s="6611"/>
      <c r="DK7" s="6611"/>
      <c r="DL7" s="6611"/>
      <c r="DM7" s="6612"/>
      <c r="DN7" s="6613" t="s">
        <v>66</v>
      </c>
      <c r="DO7" s="6612"/>
      <c r="DP7" s="6613" t="s">
        <v>66</v>
      </c>
      <c r="DQ7" s="6611"/>
      <c r="DR7" s="6611"/>
      <c r="DS7" s="6611"/>
      <c r="DT7" s="6611"/>
      <c r="DU7" s="6611"/>
      <c r="DV7" s="6611"/>
      <c r="DW7" s="6611"/>
      <c r="DX7" s="6612"/>
      <c r="DY7" s="6613" t="s">
        <v>66</v>
      </c>
      <c r="DZ7" s="6612"/>
      <c r="EA7" s="6613" t="s">
        <v>66</v>
      </c>
      <c r="EB7" s="18890"/>
      <c r="EC7" s="18890"/>
      <c r="ED7" s="18890"/>
      <c r="EE7" s="18890"/>
      <c r="EF7" s="18890"/>
      <c r="EG7" s="18890"/>
      <c r="EH7" s="18890"/>
      <c r="EI7" s="18891"/>
      <c r="EJ7" s="18892" t="s">
        <v>66</v>
      </c>
      <c r="EK7" s="18891"/>
      <c r="EL7" s="18892" t="s">
        <v>66</v>
      </c>
      <c r="EM7" s="18890"/>
      <c r="EN7" s="18890"/>
      <c r="EO7" s="18890"/>
      <c r="EP7" s="18890"/>
      <c r="EQ7" s="18890"/>
      <c r="ER7" s="18890"/>
      <c r="ES7" s="18890"/>
      <c r="ET7" s="18891"/>
      <c r="EU7" s="18892" t="s">
        <v>66</v>
      </c>
      <c r="EV7" s="18891"/>
      <c r="EW7" s="18892" t="s">
        <v>66</v>
      </c>
      <c r="EX7" s="1804"/>
      <c r="EY7" s="26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Z7" s="872">
        <f>STRCHECKDATE(V8:EX8)</f>
      </c>
      <c r="FA7" s="861"/>
      <c r="FB7" s="861" t="str">
        <f>IF(T7="","",T7)</f>
        <v/>
      </c>
      <c r="FC7" s="861"/>
      <c r="FD7" s="861"/>
    </row>
    <row customHeight="1" ht="14.25" hidden="1">
      <c r="A8" s="1729"/>
      <c r="B8" s="1729"/>
      <c r="C8" s="1729"/>
      <c r="D8" s="1729"/>
      <c r="E8" s="2528"/>
      <c r="F8" s="2528"/>
      <c r="G8" s="2528"/>
      <c r="H8" s="2528"/>
      <c r="I8" s="2530"/>
      <c r="J8" s="2530"/>
      <c r="K8" s="2529"/>
      <c r="L8" s="1730"/>
      <c r="P8" s="2531"/>
      <c r="Q8" s="2531"/>
      <c r="R8" s="718"/>
      <c r="S8" s="1856"/>
      <c r="T8" s="661"/>
      <c r="U8" s="661"/>
      <c r="V8" s="686"/>
      <c r="W8" s="686"/>
      <c r="X8" s="686"/>
      <c r="Y8" s="686"/>
      <c r="Z8" s="686"/>
      <c r="AA8" s="686"/>
      <c r="AB8" s="686"/>
      <c r="AC8" s="2533"/>
      <c r="AD8" s="2402"/>
      <c r="AE8" s="2533"/>
      <c r="AF8" s="2402"/>
      <c r="AG8" s="686"/>
      <c r="AH8" s="686"/>
      <c r="AI8" s="686"/>
      <c r="AJ8" s="686"/>
      <c r="AK8" s="686"/>
      <c r="AL8" s="686"/>
      <c r="AM8" s="686"/>
      <c r="AN8" s="2533"/>
      <c r="AO8" s="2402"/>
      <c r="AP8" s="2535"/>
      <c r="AQ8" s="2402"/>
      <c r="AR8" s="6614"/>
      <c r="AS8" s="6614"/>
      <c r="AT8" s="6614"/>
      <c r="AU8" s="6614"/>
      <c r="AV8" s="6614"/>
      <c r="AW8" s="6614"/>
      <c r="AX8" s="6614"/>
      <c r="AY8" s="6615"/>
      <c r="AZ8" s="6613"/>
      <c r="BA8" s="6615"/>
      <c r="BB8" s="6613"/>
      <c r="BC8" s="6614"/>
      <c r="BD8" s="6614"/>
      <c r="BE8" s="6614"/>
      <c r="BF8" s="6614"/>
      <c r="BG8" s="6614"/>
      <c r="BH8" s="6614"/>
      <c r="BI8" s="6614"/>
      <c r="BJ8" s="6615"/>
      <c r="BK8" s="6613"/>
      <c r="BL8" s="6615"/>
      <c r="BM8" s="6613"/>
      <c r="BN8" s="6614"/>
      <c r="BO8" s="6614"/>
      <c r="BP8" s="6614"/>
      <c r="BQ8" s="6614"/>
      <c r="BR8" s="6614"/>
      <c r="BS8" s="6614"/>
      <c r="BT8" s="6614"/>
      <c r="BU8" s="6615"/>
      <c r="BV8" s="6613"/>
      <c r="BW8" s="6615"/>
      <c r="BX8" s="6613"/>
      <c r="BY8" s="6614"/>
      <c r="BZ8" s="6614"/>
      <c r="CA8" s="6614"/>
      <c r="CB8" s="6614"/>
      <c r="CC8" s="6614"/>
      <c r="CD8" s="6614"/>
      <c r="CE8" s="6614"/>
      <c r="CF8" s="6615"/>
      <c r="CG8" s="6613"/>
      <c r="CH8" s="6615"/>
      <c r="CI8" s="6613"/>
      <c r="CJ8" s="6614"/>
      <c r="CK8" s="6614"/>
      <c r="CL8" s="6614"/>
      <c r="CM8" s="6614"/>
      <c r="CN8" s="6614"/>
      <c r="CO8" s="6614"/>
      <c r="CP8" s="6614"/>
      <c r="CQ8" s="6615"/>
      <c r="CR8" s="6613"/>
      <c r="CS8" s="6615"/>
      <c r="CT8" s="6613"/>
      <c r="CU8" s="6614"/>
      <c r="CV8" s="6614"/>
      <c r="CW8" s="6614"/>
      <c r="CX8" s="6614"/>
      <c r="CY8" s="6614"/>
      <c r="CZ8" s="6614"/>
      <c r="DA8" s="6614"/>
      <c r="DB8" s="6615"/>
      <c r="DC8" s="6613"/>
      <c r="DD8" s="6615"/>
      <c r="DE8" s="6613"/>
      <c r="DF8" s="6614"/>
      <c r="DG8" s="6614"/>
      <c r="DH8" s="6614"/>
      <c r="DI8" s="6614"/>
      <c r="DJ8" s="6614"/>
      <c r="DK8" s="6614"/>
      <c r="DL8" s="6614"/>
      <c r="DM8" s="6615"/>
      <c r="DN8" s="6613"/>
      <c r="DO8" s="6615"/>
      <c r="DP8" s="6613"/>
      <c r="DQ8" s="6614"/>
      <c r="DR8" s="6614"/>
      <c r="DS8" s="6614"/>
      <c r="DT8" s="6614"/>
      <c r="DU8" s="6614"/>
      <c r="DV8" s="6614"/>
      <c r="DW8" s="6614"/>
      <c r="DX8" s="6615"/>
      <c r="DY8" s="6613"/>
      <c r="DZ8" s="6615"/>
      <c r="EA8" s="6613"/>
      <c r="EB8" s="18895"/>
      <c r="EC8" s="18895"/>
      <c r="ED8" s="18895"/>
      <c r="EE8" s="18895"/>
      <c r="EF8" s="18895"/>
      <c r="EG8" s="18895"/>
      <c r="EH8" s="18895"/>
      <c r="EI8" s="18896"/>
      <c r="EJ8" s="18892"/>
      <c r="EK8" s="18896"/>
      <c r="EL8" s="18892"/>
      <c r="EM8" s="18895"/>
      <c r="EN8" s="18895"/>
      <c r="EO8" s="18895"/>
      <c r="EP8" s="18895"/>
      <c r="EQ8" s="18895"/>
      <c r="ER8" s="18895"/>
      <c r="ES8" s="18895"/>
      <c r="ET8" s="18896"/>
      <c r="EU8" s="18892"/>
      <c r="EV8" s="18896"/>
      <c r="EW8" s="18892"/>
      <c r="EX8" s="1805"/>
      <c r="EY8" s="2620"/>
      <c r="FA8" s="861"/>
      <c r="FB8" s="861" t="str">
        <f>IF(T8="","",T8)</f>
        <v/>
      </c>
      <c r="FC8" s="861"/>
      <c r="FD8" s="861"/>
    </row>
    <row customHeight="1" ht="21" hidden="1">
      <c r="A9" s="1729"/>
      <c r="B9" s="1729"/>
      <c r="C9" s="1729"/>
      <c r="D9" s="1729"/>
      <c r="E9" s="2528"/>
      <c r="F9" s="2528"/>
      <c r="G9" s="2528"/>
      <c r="H9" s="2528"/>
      <c r="I9" s="2530"/>
      <c r="J9" s="2529"/>
      <c r="K9" s="1729"/>
      <c r="L9" s="1730"/>
      <c r="P9" s="2531"/>
      <c r="Q9" s="2531"/>
      <c r="R9" s="717"/>
      <c r="S9" s="1644"/>
      <c r="T9" s="648" t="s">
        <v>525</v>
      </c>
      <c r="U9" s="728"/>
      <c r="V9" s="728"/>
      <c r="W9" s="961"/>
      <c r="X9" s="961"/>
      <c r="Y9" s="961"/>
      <c r="Z9" s="961"/>
      <c r="AA9" s="961"/>
      <c r="AB9" s="961"/>
      <c r="AC9" s="728"/>
      <c r="AD9" s="728"/>
      <c r="AE9" s="728"/>
      <c r="AF9" s="728"/>
      <c r="AG9" s="728"/>
      <c r="AH9" s="961"/>
      <c r="AI9" s="961"/>
      <c r="AJ9" s="961"/>
      <c r="AK9" s="961"/>
      <c r="AL9" s="961"/>
      <c r="AM9" s="728"/>
      <c r="AN9" s="728"/>
      <c r="AO9" s="728"/>
      <c r="AP9" s="728"/>
      <c r="AQ9" s="728"/>
      <c r="AR9" s="6616"/>
      <c r="AS9" s="6617"/>
      <c r="AT9" s="6618"/>
      <c r="AU9" s="6619"/>
      <c r="AV9" s="6620"/>
      <c r="AW9" s="6621"/>
      <c r="AX9" s="6622"/>
      <c r="AY9" s="6623"/>
      <c r="AZ9" s="6624"/>
      <c r="BA9" s="6625"/>
      <c r="BB9" s="6626"/>
      <c r="BC9" s="6627"/>
      <c r="BD9" s="6628"/>
      <c r="BE9" s="6629"/>
      <c r="BF9" s="6630"/>
      <c r="BG9" s="6631"/>
      <c r="BH9" s="6632"/>
      <c r="BI9" s="6633"/>
      <c r="BJ9" s="6634"/>
      <c r="BK9" s="6635"/>
      <c r="BL9" s="6636"/>
      <c r="BM9" s="6637"/>
      <c r="BN9" s="6638"/>
      <c r="BO9" s="6639"/>
      <c r="BP9" s="6640"/>
      <c r="BQ9" s="6641"/>
      <c r="BR9" s="6642"/>
      <c r="BS9" s="6643"/>
      <c r="BT9" s="6644"/>
      <c r="BU9" s="6645"/>
      <c r="BV9" s="6646"/>
      <c r="BW9" s="6647"/>
      <c r="BX9" s="6648"/>
      <c r="BY9" s="6649"/>
      <c r="BZ9" s="6650"/>
      <c r="CA9" s="6651"/>
      <c r="CB9" s="6652"/>
      <c r="CC9" s="6653"/>
      <c r="CD9" s="6654"/>
      <c r="CE9" s="6655"/>
      <c r="CF9" s="6656"/>
      <c r="CG9" s="6657"/>
      <c r="CH9" s="6658"/>
      <c r="CI9" s="6659"/>
      <c r="CJ9" s="6660"/>
      <c r="CK9" s="6661"/>
      <c r="CL9" s="6662"/>
      <c r="CM9" s="6663"/>
      <c r="CN9" s="6664"/>
      <c r="CO9" s="6665"/>
      <c r="CP9" s="6666"/>
      <c r="CQ9" s="6667"/>
      <c r="CR9" s="6668"/>
      <c r="CS9" s="6669"/>
      <c r="CT9" s="6670"/>
      <c r="CU9" s="6671"/>
      <c r="CV9" s="6672"/>
      <c r="CW9" s="6673"/>
      <c r="CX9" s="6674"/>
      <c r="CY9" s="6675"/>
      <c r="CZ9" s="6676"/>
      <c r="DA9" s="6677"/>
      <c r="DB9" s="6678"/>
      <c r="DC9" s="6679"/>
      <c r="DD9" s="6680"/>
      <c r="DE9" s="6681"/>
      <c r="DF9" s="6682"/>
      <c r="DG9" s="6683"/>
      <c r="DH9" s="6684"/>
      <c r="DI9" s="6685"/>
      <c r="DJ9" s="6686"/>
      <c r="DK9" s="6687"/>
      <c r="DL9" s="6688"/>
      <c r="DM9" s="6689"/>
      <c r="DN9" s="6690"/>
      <c r="DO9" s="6691"/>
      <c r="DP9" s="6692"/>
      <c r="DQ9" s="6693"/>
      <c r="DR9" s="6694"/>
      <c r="DS9" s="6695"/>
      <c r="DT9" s="6696"/>
      <c r="DU9" s="6697"/>
      <c r="DV9" s="6698"/>
      <c r="DW9" s="6699"/>
      <c r="DX9" s="6700"/>
      <c r="DY9" s="6701"/>
      <c r="DZ9" s="6702"/>
      <c r="EA9" s="6703"/>
      <c r="EB9" s="18985"/>
      <c r="EC9" s="18986"/>
      <c r="ED9" s="18987"/>
      <c r="EE9" s="18988"/>
      <c r="EF9" s="18989"/>
      <c r="EG9" s="18990"/>
      <c r="EH9" s="18991"/>
      <c r="EI9" s="18992"/>
      <c r="EJ9" s="18993"/>
      <c r="EK9" s="18994"/>
      <c r="EL9" s="18995"/>
      <c r="EM9" s="18996"/>
      <c r="EN9" s="18997"/>
      <c r="EO9" s="18998"/>
      <c r="EP9" s="18999"/>
      <c r="EQ9" s="19000"/>
      <c r="ER9" s="19001"/>
      <c r="ES9" s="19002"/>
      <c r="ET9" s="19003"/>
      <c r="EU9" s="19004"/>
      <c r="EV9" s="19005"/>
      <c r="EW9" s="19006"/>
      <c r="EX9" s="728"/>
      <c r="EY9" s="1623" t="s">
        <v>526</v>
      </c>
      <c r="FA9" s="861"/>
      <c r="FB9" s="861" t="str">
        <f>IF(T9="","",T9)</f>
        <v>Добавить значение признака дифференциации</v>
      </c>
      <c r="FC9" s="861"/>
      <c r="FD9" s="861"/>
    </row>
    <row customHeight="1" ht="21" hidden="1">
      <c r="A10" s="1729"/>
      <c r="B10" s="1729"/>
      <c r="C10" s="1729"/>
      <c r="D10" s="1729"/>
      <c r="E10" s="2528"/>
      <c r="F10" s="2528"/>
      <c r="G10" s="2528"/>
      <c r="H10" s="2528"/>
      <c r="I10" s="2529"/>
      <c r="J10" s="1729"/>
      <c r="K10" s="1729"/>
      <c r="L10" s="1730"/>
      <c r="P10" s="2531"/>
      <c r="Q10" s="1847"/>
      <c r="R10" s="717"/>
      <c r="S10" s="1644"/>
      <c r="T10" s="726" t="s">
        <v>453</v>
      </c>
      <c r="U10" s="728"/>
      <c r="V10" s="728"/>
      <c r="W10" s="961"/>
      <c r="X10" s="961"/>
      <c r="Y10" s="961"/>
      <c r="Z10" s="961"/>
      <c r="AA10" s="961"/>
      <c r="AB10" s="961"/>
      <c r="AC10" s="728"/>
      <c r="AD10" s="728"/>
      <c r="AE10" s="728"/>
      <c r="AF10" s="727"/>
      <c r="AG10" s="728"/>
      <c r="AH10" s="961"/>
      <c r="AI10" s="961"/>
      <c r="AJ10" s="961"/>
      <c r="AK10" s="961"/>
      <c r="AL10" s="961"/>
      <c r="AM10" s="728"/>
      <c r="AN10" s="728"/>
      <c r="AO10" s="728"/>
      <c r="AP10" s="728"/>
      <c r="AQ10" s="727"/>
      <c r="AR10" s="6704"/>
      <c r="AS10" s="6705"/>
      <c r="AT10" s="6706"/>
      <c r="AU10" s="6707"/>
      <c r="AV10" s="6708"/>
      <c r="AW10" s="6709"/>
      <c r="AX10" s="6710"/>
      <c r="AY10" s="6711"/>
      <c r="AZ10" s="6712"/>
      <c r="BA10" s="6713"/>
      <c r="BB10" s="6714"/>
      <c r="BC10" s="6715"/>
      <c r="BD10" s="6716"/>
      <c r="BE10" s="6717"/>
      <c r="BF10" s="6718"/>
      <c r="BG10" s="6719"/>
      <c r="BH10" s="6720"/>
      <c r="BI10" s="6721"/>
      <c r="BJ10" s="6722"/>
      <c r="BK10" s="6723"/>
      <c r="BL10" s="6724"/>
      <c r="BM10" s="6725"/>
      <c r="BN10" s="6726"/>
      <c r="BO10" s="6727"/>
      <c r="BP10" s="6728"/>
      <c r="BQ10" s="6729"/>
      <c r="BR10" s="6730"/>
      <c r="BS10" s="6731"/>
      <c r="BT10" s="6732"/>
      <c r="BU10" s="6733"/>
      <c r="BV10" s="6734"/>
      <c r="BW10" s="6735"/>
      <c r="BX10" s="6736"/>
      <c r="BY10" s="6737"/>
      <c r="BZ10" s="6738"/>
      <c r="CA10" s="6739"/>
      <c r="CB10" s="6740"/>
      <c r="CC10" s="6741"/>
      <c r="CD10" s="6742"/>
      <c r="CE10" s="6743"/>
      <c r="CF10" s="6744"/>
      <c r="CG10" s="6745"/>
      <c r="CH10" s="6746"/>
      <c r="CI10" s="6747"/>
      <c r="CJ10" s="6748"/>
      <c r="CK10" s="6749"/>
      <c r="CL10" s="6750"/>
      <c r="CM10" s="6751"/>
      <c r="CN10" s="6752"/>
      <c r="CO10" s="6753"/>
      <c r="CP10" s="6754"/>
      <c r="CQ10" s="6755"/>
      <c r="CR10" s="6756"/>
      <c r="CS10" s="6757"/>
      <c r="CT10" s="6758"/>
      <c r="CU10" s="6759"/>
      <c r="CV10" s="6760"/>
      <c r="CW10" s="6761"/>
      <c r="CX10" s="6762"/>
      <c r="CY10" s="6763"/>
      <c r="CZ10" s="6764"/>
      <c r="DA10" s="6765"/>
      <c r="DB10" s="6766"/>
      <c r="DC10" s="6767"/>
      <c r="DD10" s="6768"/>
      <c r="DE10" s="6769"/>
      <c r="DF10" s="6770"/>
      <c r="DG10" s="6771"/>
      <c r="DH10" s="6772"/>
      <c r="DI10" s="6773"/>
      <c r="DJ10" s="6774"/>
      <c r="DK10" s="6775"/>
      <c r="DL10" s="6776"/>
      <c r="DM10" s="6777"/>
      <c r="DN10" s="6778"/>
      <c r="DO10" s="6779"/>
      <c r="DP10" s="6780"/>
      <c r="DQ10" s="6781"/>
      <c r="DR10" s="6782"/>
      <c r="DS10" s="6783"/>
      <c r="DT10" s="6784"/>
      <c r="DU10" s="6785"/>
      <c r="DV10" s="6786"/>
      <c r="DW10" s="6787"/>
      <c r="DX10" s="6788"/>
      <c r="DY10" s="6789"/>
      <c r="DZ10" s="6790"/>
      <c r="EA10" s="6791"/>
      <c r="EB10" s="19095"/>
      <c r="EC10" s="19096"/>
      <c r="ED10" s="19097"/>
      <c r="EE10" s="19098"/>
      <c r="EF10" s="19099"/>
      <c r="EG10" s="19100"/>
      <c r="EH10" s="19101"/>
      <c r="EI10" s="19102"/>
      <c r="EJ10" s="19103"/>
      <c r="EK10" s="19104"/>
      <c r="EL10" s="19105"/>
      <c r="EM10" s="19106"/>
      <c r="EN10" s="19107"/>
      <c r="EO10" s="19108"/>
      <c r="EP10" s="19109"/>
      <c r="EQ10" s="19110"/>
      <c r="ER10" s="19111"/>
      <c r="ES10" s="19112"/>
      <c r="ET10" s="19113"/>
      <c r="EU10" s="19114"/>
      <c r="EV10" s="19115"/>
      <c r="EW10" s="19116"/>
      <c r="EX10" s="728"/>
      <c r="EY10" s="1806"/>
      <c r="FA10" s="861"/>
      <c r="FB10" s="861" t="str">
        <f>IF(T10="","",T10)</f>
        <v>Добавить группу потребителей</v>
      </c>
      <c r="FC10" s="861"/>
      <c r="FD10" s="861"/>
    </row>
    <row customHeight="1" ht="21" hidden="1">
      <c r="A11" s="1729"/>
      <c r="B11" s="1729"/>
      <c r="C11" s="1729"/>
      <c r="D11" s="1729"/>
      <c r="E11" s="2528"/>
      <c r="F11" s="2528"/>
      <c r="G11" s="2528"/>
      <c r="H11" s="2527"/>
      <c r="I11" s="1729"/>
      <c r="J11" s="1729"/>
      <c r="K11" s="1729"/>
      <c r="L11" s="1730"/>
      <c r="M11" s="1731"/>
      <c r="N11" s="1731"/>
      <c r="O11" s="898"/>
      <c r="P11" s="721"/>
      <c r="Q11" s="736"/>
      <c r="R11" s="716"/>
      <c r="S11" s="1644"/>
      <c r="T11" s="733" t="s">
        <v>527</v>
      </c>
      <c r="U11" s="728"/>
      <c r="V11" s="728"/>
      <c r="W11" s="961"/>
      <c r="X11" s="961"/>
      <c r="Y11" s="961"/>
      <c r="Z11" s="961"/>
      <c r="AA11" s="961"/>
      <c r="AB11" s="961"/>
      <c r="AC11" s="728"/>
      <c r="AD11" s="728"/>
      <c r="AE11" s="728"/>
      <c r="AF11" s="727"/>
      <c r="AG11" s="728"/>
      <c r="AH11" s="961"/>
      <c r="AI11" s="961"/>
      <c r="AJ11" s="961"/>
      <c r="AK11" s="961"/>
      <c r="AL11" s="961"/>
      <c r="AM11" s="728"/>
      <c r="AN11" s="728"/>
      <c r="AO11" s="728"/>
      <c r="AP11" s="728"/>
      <c r="AQ11" s="727"/>
      <c r="AR11" s="6792"/>
      <c r="AS11" s="6793"/>
      <c r="AT11" s="6794"/>
      <c r="AU11" s="6795"/>
      <c r="AV11" s="6796"/>
      <c r="AW11" s="6797"/>
      <c r="AX11" s="6798"/>
      <c r="AY11" s="6799"/>
      <c r="AZ11" s="6800"/>
      <c r="BA11" s="6801"/>
      <c r="BB11" s="6802"/>
      <c r="BC11" s="6803"/>
      <c r="BD11" s="6804"/>
      <c r="BE11" s="6805"/>
      <c r="BF11" s="6806"/>
      <c r="BG11" s="6807"/>
      <c r="BH11" s="6808"/>
      <c r="BI11" s="6809"/>
      <c r="BJ11" s="6810"/>
      <c r="BK11" s="6811"/>
      <c r="BL11" s="6812"/>
      <c r="BM11" s="6813"/>
      <c r="BN11" s="6814"/>
      <c r="BO11" s="6815"/>
      <c r="BP11" s="6816"/>
      <c r="BQ11" s="6817"/>
      <c r="BR11" s="6818"/>
      <c r="BS11" s="6819"/>
      <c r="BT11" s="6820"/>
      <c r="BU11" s="6821"/>
      <c r="BV11" s="6822"/>
      <c r="BW11" s="6823"/>
      <c r="BX11" s="6824"/>
      <c r="BY11" s="6825"/>
      <c r="BZ11" s="6826"/>
      <c r="CA11" s="6827"/>
      <c r="CB11" s="6828"/>
      <c r="CC11" s="6829"/>
      <c r="CD11" s="6830"/>
      <c r="CE11" s="6831"/>
      <c r="CF11" s="6832"/>
      <c r="CG11" s="6833"/>
      <c r="CH11" s="6834"/>
      <c r="CI11" s="6835"/>
      <c r="CJ11" s="6836"/>
      <c r="CK11" s="6837"/>
      <c r="CL11" s="6838"/>
      <c r="CM11" s="6839"/>
      <c r="CN11" s="6840"/>
      <c r="CO11" s="6841"/>
      <c r="CP11" s="6842"/>
      <c r="CQ11" s="6843"/>
      <c r="CR11" s="6844"/>
      <c r="CS11" s="6845"/>
      <c r="CT11" s="6846"/>
      <c r="CU11" s="6847"/>
      <c r="CV11" s="6848"/>
      <c r="CW11" s="6849"/>
      <c r="CX11" s="6850"/>
      <c r="CY11" s="6851"/>
      <c r="CZ11" s="6852"/>
      <c r="DA11" s="6853"/>
      <c r="DB11" s="6854"/>
      <c r="DC11" s="6855"/>
      <c r="DD11" s="6856"/>
      <c r="DE11" s="6857"/>
      <c r="DF11" s="6858"/>
      <c r="DG11" s="6859"/>
      <c r="DH11" s="6860"/>
      <c r="DI11" s="6861"/>
      <c r="DJ11" s="6862"/>
      <c r="DK11" s="6863"/>
      <c r="DL11" s="6864"/>
      <c r="DM11" s="6865"/>
      <c r="DN11" s="6866"/>
      <c r="DO11" s="6867"/>
      <c r="DP11" s="6868"/>
      <c r="DQ11" s="6869"/>
      <c r="DR11" s="6870"/>
      <c r="DS11" s="6871"/>
      <c r="DT11" s="6872"/>
      <c r="DU11" s="6873"/>
      <c r="DV11" s="6874"/>
      <c r="DW11" s="6875"/>
      <c r="DX11" s="6876"/>
      <c r="DY11" s="6877"/>
      <c r="DZ11" s="6878"/>
      <c r="EA11" s="6879"/>
      <c r="EB11" s="19205"/>
      <c r="EC11" s="19206"/>
      <c r="ED11" s="19207"/>
      <c r="EE11" s="19208"/>
      <c r="EF11" s="19209"/>
      <c r="EG11" s="19210"/>
      <c r="EH11" s="19211"/>
      <c r="EI11" s="19212"/>
      <c r="EJ11" s="19213"/>
      <c r="EK11" s="19214"/>
      <c r="EL11" s="19215"/>
      <c r="EM11" s="19216"/>
      <c r="EN11" s="19217"/>
      <c r="EO11" s="19218"/>
      <c r="EP11" s="19219"/>
      <c r="EQ11" s="19220"/>
      <c r="ER11" s="19221"/>
      <c r="ES11" s="19222"/>
      <c r="ET11" s="19223"/>
      <c r="EU11" s="19224"/>
      <c r="EV11" s="19225"/>
      <c r="EW11" s="19226"/>
      <c r="EX11" s="728"/>
      <c r="EY11" s="664"/>
      <c r="FA11" s="861"/>
      <c r="FB11" s="861" t="str">
        <f>IF(T11="","",T11)</f>
        <v>Добавить наименование признака дифференциации</v>
      </c>
      <c r="FC11" s="861"/>
      <c r="FD11" s="861"/>
    </row>
    <row s="32198" customFormat="1" customHeight="1" ht="14.25" hidden="1">
      <c r="A12" s="1709"/>
      <c r="B12" s="1709"/>
      <c r="C12" s="1680"/>
      <c r="D12" s="1680"/>
      <c r="E12" s="2528"/>
      <c r="F12" s="2527"/>
      <c r="G12" s="1680"/>
      <c r="H12" s="1680"/>
      <c r="I12" s="1680"/>
      <c r="J12" s="1680"/>
      <c r="K12" s="1680"/>
      <c r="L12" s="1860"/>
      <c r="M12" s="1687"/>
      <c r="N12" s="1687"/>
      <c r="P12" s="1682"/>
      <c r="Q12" s="1683"/>
      <c r="R12" s="1682"/>
      <c r="S12" s="1688"/>
      <c r="T12" s="1691" t="s">
        <v>262</v>
      </c>
      <c r="U12" s="1690"/>
      <c r="V12" s="1690"/>
      <c r="W12" s="1690"/>
      <c r="X12" s="1690"/>
      <c r="Y12" s="1690"/>
      <c r="Z12" s="1690"/>
      <c r="AA12" s="1690"/>
      <c r="AB12" s="1690"/>
      <c r="AC12" s="1690"/>
      <c r="AD12" s="1690"/>
      <c r="AE12" s="1690"/>
      <c r="AF12" s="1690"/>
      <c r="AG12" s="1690"/>
      <c r="AH12" s="1690"/>
      <c r="AI12" s="1690"/>
      <c r="AJ12" s="1690"/>
      <c r="AK12" s="1690"/>
      <c r="AL12" s="1690"/>
      <c r="AM12" s="1690"/>
      <c r="AN12" s="1690"/>
      <c r="AO12" s="1690"/>
      <c r="AP12" s="1690"/>
      <c r="AQ12" s="1690"/>
      <c r="AR12" s="6880"/>
      <c r="AS12" s="6880"/>
      <c r="AT12" s="6880"/>
      <c r="AU12" s="6880"/>
      <c r="AV12" s="6880"/>
      <c r="AW12" s="6880"/>
      <c r="AX12" s="6880"/>
      <c r="AY12" s="6880"/>
      <c r="AZ12" s="6880"/>
      <c r="BA12" s="6880"/>
      <c r="BB12" s="6880"/>
      <c r="BC12" s="6880"/>
      <c r="BD12" s="6880"/>
      <c r="BE12" s="6880"/>
      <c r="BF12" s="6880"/>
      <c r="BG12" s="6880"/>
      <c r="BH12" s="6880"/>
      <c r="BI12" s="6880"/>
      <c r="BJ12" s="6880"/>
      <c r="BK12" s="6880"/>
      <c r="BL12" s="6880"/>
      <c r="BM12" s="6880"/>
      <c r="BN12" s="6880"/>
      <c r="BO12" s="6880"/>
      <c r="BP12" s="6880"/>
      <c r="BQ12" s="6880"/>
      <c r="BR12" s="6880"/>
      <c r="BS12" s="6880"/>
      <c r="BT12" s="6880"/>
      <c r="BU12" s="6880"/>
      <c r="BV12" s="6880"/>
      <c r="BW12" s="6880"/>
      <c r="BX12" s="6880"/>
      <c r="BY12" s="6880"/>
      <c r="BZ12" s="6880"/>
      <c r="CA12" s="6880"/>
      <c r="CB12" s="6880"/>
      <c r="CC12" s="6880"/>
      <c r="CD12" s="6880"/>
      <c r="CE12" s="6880"/>
      <c r="CF12" s="6880"/>
      <c r="CG12" s="6880"/>
      <c r="CH12" s="6880"/>
      <c r="CI12" s="6880"/>
      <c r="CJ12" s="6880"/>
      <c r="CK12" s="6880"/>
      <c r="CL12" s="6880"/>
      <c r="CM12" s="6880"/>
      <c r="CN12" s="6880"/>
      <c r="CO12" s="6880"/>
      <c r="CP12" s="6880"/>
      <c r="CQ12" s="6880"/>
      <c r="CR12" s="6880"/>
      <c r="CS12" s="6880"/>
      <c r="CT12" s="6880"/>
      <c r="CU12" s="6880"/>
      <c r="CV12" s="6880"/>
      <c r="CW12" s="6880"/>
      <c r="CX12" s="6880"/>
      <c r="CY12" s="6880"/>
      <c r="CZ12" s="6880"/>
      <c r="DA12" s="6880"/>
      <c r="DB12" s="6880"/>
      <c r="DC12" s="6880"/>
      <c r="DD12" s="6880"/>
      <c r="DE12" s="6880"/>
      <c r="DF12" s="6880"/>
      <c r="DG12" s="6880"/>
      <c r="DH12" s="6880"/>
      <c r="DI12" s="6880"/>
      <c r="DJ12" s="6880"/>
      <c r="DK12" s="6880"/>
      <c r="DL12" s="6880"/>
      <c r="DM12" s="6880"/>
      <c r="DN12" s="6880"/>
      <c r="DO12" s="6880"/>
      <c r="DP12" s="6880"/>
      <c r="DQ12" s="6880"/>
      <c r="DR12" s="6880"/>
      <c r="DS12" s="6880"/>
      <c r="DT12" s="6880"/>
      <c r="DU12" s="6880"/>
      <c r="DV12" s="6880"/>
      <c r="DW12" s="6880"/>
      <c r="DX12" s="6880"/>
      <c r="DY12" s="6880"/>
      <c r="DZ12" s="6880"/>
      <c r="EA12" s="6880"/>
      <c r="EB12" s="19228"/>
      <c r="EC12" s="19228"/>
      <c r="ED12" s="19228"/>
      <c r="EE12" s="19228"/>
      <c r="EF12" s="19228"/>
      <c r="EG12" s="19228"/>
      <c r="EH12" s="19228"/>
      <c r="EI12" s="19228"/>
      <c r="EJ12" s="19228"/>
      <c r="EK12" s="19228"/>
      <c r="EL12" s="19228"/>
      <c r="EM12" s="19228"/>
      <c r="EN12" s="19228"/>
      <c r="EO12" s="19228"/>
      <c r="EP12" s="19228"/>
      <c r="EQ12" s="19228"/>
      <c r="ER12" s="19228"/>
      <c r="ES12" s="19228"/>
      <c r="ET12" s="19228"/>
      <c r="EU12" s="19228"/>
      <c r="EV12" s="19228"/>
      <c r="EW12" s="19228"/>
      <c r="EX12" s="1690"/>
      <c r="EY12" s="1690"/>
      <c r="FA12" s="1150"/>
      <c r="FB12" s="1150" t="str">
        <f>IF(T12="","",T12)</f>
        <v>Добавить централизованную систему для дифференциации</v>
      </c>
      <c r="FC12" s="1150"/>
      <c r="FD12" s="1150"/>
    </row>
    <row s="32289" customFormat="1" customHeight="1" ht="14.25" hidden="1">
      <c r="A13" s="1709"/>
      <c r="B13" s="1709"/>
      <c r="C13" s="1709"/>
      <c r="D13" s="1709"/>
      <c r="E13" s="2527"/>
      <c r="F13" s="1709"/>
      <c r="G13" s="1709"/>
      <c r="H13" s="1709"/>
      <c r="I13" s="1709"/>
      <c r="J13" s="1709"/>
      <c r="K13" s="1709"/>
      <c r="L13" s="1712"/>
      <c r="M13" s="1687"/>
      <c r="N13" s="1687"/>
      <c r="O13" s="879"/>
      <c r="P13" s="741"/>
      <c r="Q13" s="1710"/>
      <c r="R13" s="741"/>
      <c r="S13" s="1688"/>
      <c r="T13" s="1691" t="s">
        <v>270</v>
      </c>
      <c r="U13" s="1690"/>
      <c r="V13" s="1690"/>
      <c r="W13" s="1690"/>
      <c r="X13" s="1690"/>
      <c r="Y13" s="1690"/>
      <c r="Z13" s="1690"/>
      <c r="AA13" s="1690"/>
      <c r="AB13" s="1690"/>
      <c r="AC13" s="1690"/>
      <c r="AD13" s="1690"/>
      <c r="AE13" s="1690"/>
      <c r="AF13" s="1690"/>
      <c r="AG13" s="1690"/>
      <c r="AH13" s="1690"/>
      <c r="AI13" s="1690"/>
      <c r="AJ13" s="1690"/>
      <c r="AK13" s="1690"/>
      <c r="AL13" s="1690"/>
      <c r="AM13" s="1690"/>
      <c r="AN13" s="1690"/>
      <c r="AO13" s="1690"/>
      <c r="AP13" s="1690"/>
      <c r="AQ13" s="1690"/>
      <c r="AR13" s="6880"/>
      <c r="AS13" s="6880"/>
      <c r="AT13" s="6880"/>
      <c r="AU13" s="6880"/>
      <c r="AV13" s="6880"/>
      <c r="AW13" s="6880"/>
      <c r="AX13" s="6880"/>
      <c r="AY13" s="6880"/>
      <c r="AZ13" s="6880"/>
      <c r="BA13" s="6880"/>
      <c r="BB13" s="6880"/>
      <c r="BC13" s="6880"/>
      <c r="BD13" s="6880"/>
      <c r="BE13" s="6880"/>
      <c r="BF13" s="6880"/>
      <c r="BG13" s="6880"/>
      <c r="BH13" s="6880"/>
      <c r="BI13" s="6880"/>
      <c r="BJ13" s="6880"/>
      <c r="BK13" s="6880"/>
      <c r="BL13" s="6880"/>
      <c r="BM13" s="6880"/>
      <c r="BN13" s="6880"/>
      <c r="BO13" s="6880"/>
      <c r="BP13" s="6880"/>
      <c r="BQ13" s="6880"/>
      <c r="BR13" s="6880"/>
      <c r="BS13" s="6880"/>
      <c r="BT13" s="6880"/>
      <c r="BU13" s="6880"/>
      <c r="BV13" s="6880"/>
      <c r="BW13" s="6880"/>
      <c r="BX13" s="6880"/>
      <c r="BY13" s="6880"/>
      <c r="BZ13" s="6880"/>
      <c r="CA13" s="6880"/>
      <c r="CB13" s="6880"/>
      <c r="CC13" s="6880"/>
      <c r="CD13" s="6880"/>
      <c r="CE13" s="6880"/>
      <c r="CF13" s="6880"/>
      <c r="CG13" s="6880"/>
      <c r="CH13" s="6880"/>
      <c r="CI13" s="6880"/>
      <c r="CJ13" s="6880"/>
      <c r="CK13" s="6880"/>
      <c r="CL13" s="6880"/>
      <c r="CM13" s="6880"/>
      <c r="CN13" s="6880"/>
      <c r="CO13" s="6880"/>
      <c r="CP13" s="6880"/>
      <c r="CQ13" s="6880"/>
      <c r="CR13" s="6880"/>
      <c r="CS13" s="6880"/>
      <c r="CT13" s="6880"/>
      <c r="CU13" s="6880"/>
      <c r="CV13" s="6880"/>
      <c r="CW13" s="6880"/>
      <c r="CX13" s="6880"/>
      <c r="CY13" s="6880"/>
      <c r="CZ13" s="6880"/>
      <c r="DA13" s="6880"/>
      <c r="DB13" s="6880"/>
      <c r="DC13" s="6880"/>
      <c r="DD13" s="6880"/>
      <c r="DE13" s="6880"/>
      <c r="DF13" s="6880"/>
      <c r="DG13" s="6880"/>
      <c r="DH13" s="6880"/>
      <c r="DI13" s="6880"/>
      <c r="DJ13" s="6880"/>
      <c r="DK13" s="6880"/>
      <c r="DL13" s="6880"/>
      <c r="DM13" s="6880"/>
      <c r="DN13" s="6880"/>
      <c r="DO13" s="6880"/>
      <c r="DP13" s="6880"/>
      <c r="DQ13" s="6880"/>
      <c r="DR13" s="6880"/>
      <c r="DS13" s="6880"/>
      <c r="DT13" s="6880"/>
      <c r="DU13" s="6880"/>
      <c r="DV13" s="6880"/>
      <c r="DW13" s="6880"/>
      <c r="DX13" s="6880"/>
      <c r="DY13" s="6880"/>
      <c r="DZ13" s="6880"/>
      <c r="EA13" s="6880"/>
      <c r="EB13" s="19228"/>
      <c r="EC13" s="19228"/>
      <c r="ED13" s="19228"/>
      <c r="EE13" s="19228"/>
      <c r="EF13" s="19228"/>
      <c r="EG13" s="19228"/>
      <c r="EH13" s="19228"/>
      <c r="EI13" s="19228"/>
      <c r="EJ13" s="19228"/>
      <c r="EK13" s="19228"/>
      <c r="EL13" s="19228"/>
      <c r="EM13" s="19228"/>
      <c r="EN13" s="19228"/>
      <c r="EO13" s="19228"/>
      <c r="EP13" s="19228"/>
      <c r="EQ13" s="19228"/>
      <c r="ER13" s="19228"/>
      <c r="ES13" s="19228"/>
      <c r="ET13" s="19228"/>
      <c r="EU13" s="19228"/>
      <c r="EV13" s="19228"/>
      <c r="EW13" s="19228"/>
      <c r="EX13" s="1690"/>
      <c r="EY13" s="1690"/>
      <c r="FA13" s="861"/>
      <c r="FB13" s="861" t="str">
        <f>IF(T13="","",T13)</f>
        <v>Добавить территорию для дифференциации</v>
      </c>
      <c r="FC13" s="861"/>
      <c r="FD13" s="861"/>
    </row>
    <row customHeight="1" ht="14.25" hidden="1">
      <c r="AF14" s="688"/>
      <c r="AQ14" s="688"/>
      <c r="AR14" s="6601"/>
      <c r="AS14" s="6601"/>
      <c r="AT14" s="6601"/>
      <c r="AU14" s="6601"/>
      <c r="AV14" s="6601"/>
      <c r="AW14" s="6601"/>
      <c r="AX14" s="6601"/>
      <c r="AY14" s="6601"/>
      <c r="AZ14" s="6601"/>
      <c r="BA14" s="6601"/>
      <c r="BB14" s="6601"/>
      <c r="BC14" s="6601"/>
      <c r="BD14" s="6601"/>
      <c r="BE14" s="6601"/>
      <c r="BF14" s="6601"/>
      <c r="BG14" s="6601"/>
      <c r="BH14" s="6601"/>
      <c r="BI14" s="6601"/>
      <c r="BJ14" s="6601"/>
      <c r="BK14" s="6601"/>
      <c r="BL14" s="6601"/>
      <c r="BM14" s="6601"/>
      <c r="BN14" s="6601"/>
      <c r="BO14" s="6601"/>
      <c r="BP14" s="6601"/>
      <c r="BQ14" s="6601"/>
      <c r="BR14" s="6601"/>
      <c r="BS14" s="6601"/>
      <c r="BT14" s="6601"/>
      <c r="BU14" s="6601"/>
      <c r="BV14" s="6601"/>
      <c r="BW14" s="6601"/>
      <c r="BX14" s="6601"/>
      <c r="BY14" s="6601"/>
      <c r="BZ14" s="6601"/>
      <c r="CA14" s="6601"/>
      <c r="CB14" s="6601"/>
      <c r="CC14" s="6601"/>
      <c r="CD14" s="6601"/>
      <c r="CE14" s="6601"/>
      <c r="CF14" s="6601"/>
      <c r="CG14" s="6601"/>
      <c r="CH14" s="6601"/>
      <c r="CI14" s="6601"/>
      <c r="CJ14" s="6601"/>
      <c r="CK14" s="6601"/>
      <c r="CL14" s="6601"/>
      <c r="CM14" s="6601"/>
      <c r="CN14" s="6601"/>
      <c r="CO14" s="6601"/>
      <c r="CP14" s="6601"/>
      <c r="CQ14" s="6601"/>
      <c r="CR14" s="6601"/>
      <c r="CS14" s="6601"/>
      <c r="CT14" s="6601"/>
      <c r="CU14" s="6601"/>
      <c r="CV14" s="6601"/>
      <c r="CW14" s="6601"/>
      <c r="CX14" s="6601"/>
      <c r="CY14" s="6601"/>
      <c r="CZ14" s="6601"/>
      <c r="DA14" s="6601"/>
      <c r="DB14" s="6601"/>
      <c r="DC14" s="6601"/>
      <c r="DD14" s="6601"/>
      <c r="DE14" s="6601"/>
      <c r="DF14" s="6601"/>
      <c r="DG14" s="6601"/>
      <c r="DH14" s="6601"/>
      <c r="DI14" s="6601"/>
      <c r="DJ14" s="6601"/>
      <c r="DK14" s="6601"/>
      <c r="DL14" s="6601"/>
      <c r="DM14" s="6601"/>
      <c r="DN14" s="6601"/>
      <c r="DO14" s="6601"/>
      <c r="DP14" s="6601"/>
      <c r="DQ14" s="6601"/>
      <c r="DR14" s="6601"/>
      <c r="DS14" s="6601"/>
      <c r="DT14" s="6601"/>
      <c r="DU14" s="6601"/>
      <c r="DV14" s="6601"/>
      <c r="DW14" s="6601"/>
      <c r="DX14" s="6601"/>
      <c r="DY14" s="6601"/>
      <c r="DZ14" s="6601"/>
      <c r="EA14" s="6601"/>
      <c r="EB14" s="18868"/>
      <c r="EC14" s="18868"/>
      <c r="ED14" s="18868"/>
      <c r="EE14" s="18868"/>
      <c r="EF14" s="18868"/>
      <c r="EG14" s="18868"/>
      <c r="EH14" s="18868"/>
      <c r="EI14" s="18868"/>
      <c r="EJ14" s="18868"/>
      <c r="EK14" s="18868"/>
      <c r="EL14" s="18868"/>
      <c r="EM14" s="18868"/>
      <c r="EN14" s="18868"/>
      <c r="EO14" s="18868"/>
      <c r="EP14" s="18868"/>
      <c r="EQ14" s="18868"/>
      <c r="ER14" s="18868"/>
      <c r="ES14" s="18868"/>
      <c r="ET14" s="18868"/>
      <c r="EU14" s="18868"/>
      <c r="EV14" s="18868"/>
      <c r="EW14" s="18868"/>
    </row>
    <row customHeight="1" ht="14.25" hidden="1">
      <c r="AG15" s="1726"/>
      <c r="AH15" s="1726"/>
      <c r="AI15" s="1726"/>
      <c r="AJ15" s="1726"/>
      <c r="AK15" s="1726"/>
      <c r="AL15" s="1726"/>
      <c r="AM15" s="1726"/>
      <c r="AN15" s="2525"/>
      <c r="AO15" s="2524" t="s">
        <v>66</v>
      </c>
      <c r="AP15" s="2525"/>
      <c r="AQ15" s="2524" t="s">
        <v>66</v>
      </c>
      <c r="AR15" s="6601"/>
      <c r="AS15" s="6601"/>
      <c r="AT15" s="6601"/>
      <c r="AU15" s="6601"/>
      <c r="AV15" s="6601"/>
      <c r="AW15" s="6601"/>
      <c r="AX15" s="6601"/>
      <c r="AY15" s="6601"/>
      <c r="AZ15" s="6601"/>
      <c r="BA15" s="6601"/>
      <c r="BB15" s="6601"/>
      <c r="BC15" s="6601"/>
      <c r="BD15" s="6601"/>
      <c r="BE15" s="6601"/>
      <c r="BF15" s="6601"/>
      <c r="BG15" s="6601"/>
      <c r="BH15" s="6601"/>
      <c r="BI15" s="6601"/>
      <c r="BJ15" s="6601"/>
      <c r="BK15" s="6601"/>
      <c r="BL15" s="6601"/>
      <c r="BM15" s="6601"/>
      <c r="BN15" s="6601"/>
      <c r="BO15" s="6601"/>
      <c r="BP15" s="6601"/>
      <c r="BQ15" s="6601"/>
      <c r="BR15" s="6601"/>
      <c r="BS15" s="6601"/>
      <c r="BT15" s="6601"/>
      <c r="BU15" s="6601"/>
      <c r="BV15" s="6601"/>
      <c r="BW15" s="6601"/>
      <c r="BX15" s="6601"/>
      <c r="BY15" s="6601"/>
      <c r="BZ15" s="6601"/>
      <c r="CA15" s="6601"/>
      <c r="CB15" s="6601"/>
      <c r="CC15" s="6601"/>
      <c r="CD15" s="6601"/>
      <c r="CE15" s="6601"/>
      <c r="CF15" s="6601"/>
      <c r="CG15" s="6601"/>
      <c r="CH15" s="6601"/>
      <c r="CI15" s="6601"/>
      <c r="CJ15" s="6601"/>
      <c r="CK15" s="6601"/>
      <c r="CL15" s="6601"/>
      <c r="CM15" s="6601"/>
      <c r="CN15" s="6601"/>
      <c r="CO15" s="6601"/>
      <c r="CP15" s="6601"/>
      <c r="CQ15" s="6601"/>
      <c r="CR15" s="6601"/>
      <c r="CS15" s="6601"/>
      <c r="CT15" s="6601"/>
      <c r="CU15" s="6601"/>
      <c r="CV15" s="6601"/>
      <c r="CW15" s="6601"/>
      <c r="CX15" s="6601"/>
      <c r="CY15" s="6601"/>
      <c r="CZ15" s="6601"/>
      <c r="DA15" s="6601"/>
      <c r="DB15" s="6601"/>
      <c r="DC15" s="6601"/>
      <c r="DD15" s="6601"/>
      <c r="DE15" s="6601"/>
      <c r="DF15" s="6601"/>
      <c r="DG15" s="6601"/>
      <c r="DH15" s="6601"/>
      <c r="DI15" s="6601"/>
      <c r="DJ15" s="6601"/>
      <c r="DK15" s="6601"/>
      <c r="DL15" s="6601"/>
      <c r="DM15" s="6601"/>
      <c r="DN15" s="6601"/>
      <c r="DO15" s="6601"/>
      <c r="DP15" s="6601"/>
      <c r="DQ15" s="6601"/>
      <c r="DR15" s="6601"/>
      <c r="DS15" s="6601"/>
      <c r="DT15" s="6601"/>
      <c r="DU15" s="6601"/>
      <c r="DV15" s="6601"/>
      <c r="DW15" s="6601"/>
      <c r="DX15" s="6601"/>
      <c r="DY15" s="6601"/>
      <c r="DZ15" s="6601"/>
      <c r="EA15" s="6601"/>
      <c r="EB15" s="18868"/>
      <c r="EC15" s="18868"/>
      <c r="ED15" s="18868"/>
      <c r="EE15" s="18868"/>
      <c r="EF15" s="18868"/>
      <c r="EG15" s="18868"/>
      <c r="EH15" s="18868"/>
      <c r="EI15" s="18868"/>
      <c r="EJ15" s="18868"/>
      <c r="EK15" s="18868"/>
      <c r="EL15" s="18868"/>
      <c r="EM15" s="18868"/>
      <c r="EN15" s="18868"/>
      <c r="EO15" s="18868"/>
      <c r="EP15" s="18868"/>
      <c r="EQ15" s="18868"/>
      <c r="ER15" s="18868"/>
      <c r="ES15" s="18868"/>
      <c r="ET15" s="18868"/>
      <c r="EU15" s="18868"/>
      <c r="EV15" s="18868"/>
      <c r="EW15" s="18868"/>
    </row>
    <row customHeight="1" ht="14.25" hidden="1">
      <c r="AG16" s="1726"/>
      <c r="AH16" s="1726"/>
      <c r="AI16" s="1726"/>
      <c r="AJ16" s="1726"/>
      <c r="AK16" s="1726"/>
      <c r="AL16" s="1726"/>
      <c r="AM16" s="1726"/>
      <c r="AN16" s="2524"/>
      <c r="AO16" s="2524"/>
      <c r="AP16" s="2524"/>
      <c r="AQ16" s="2524"/>
      <c r="AR16" s="6601"/>
      <c r="AS16" s="6601"/>
      <c r="AT16" s="6601"/>
      <c r="AU16" s="6601"/>
      <c r="AV16" s="6601"/>
      <c r="AW16" s="6601"/>
      <c r="AX16" s="6601"/>
      <c r="AY16" s="6601"/>
      <c r="AZ16" s="6601"/>
      <c r="BA16" s="6601"/>
      <c r="BB16" s="6601"/>
      <c r="BC16" s="6601"/>
      <c r="BD16" s="6601"/>
      <c r="BE16" s="6601"/>
      <c r="BF16" s="6601"/>
      <c r="BG16" s="6601"/>
      <c r="BH16" s="6601"/>
      <c r="BI16" s="6601"/>
      <c r="BJ16" s="6601"/>
      <c r="BK16" s="6601"/>
      <c r="BL16" s="6601"/>
      <c r="BM16" s="6601"/>
      <c r="BN16" s="6601"/>
      <c r="BO16" s="6601"/>
      <c r="BP16" s="6601"/>
      <c r="BQ16" s="6601"/>
      <c r="BR16" s="6601"/>
      <c r="BS16" s="6601"/>
      <c r="BT16" s="6601"/>
      <c r="BU16" s="6601"/>
      <c r="BV16" s="6601"/>
      <c r="BW16" s="6601"/>
      <c r="BX16" s="6601"/>
      <c r="BY16" s="6601"/>
      <c r="BZ16" s="6601"/>
      <c r="CA16" s="6601"/>
      <c r="CB16" s="6601"/>
      <c r="CC16" s="6601"/>
      <c r="CD16" s="6601"/>
      <c r="CE16" s="6601"/>
      <c r="CF16" s="6601"/>
      <c r="CG16" s="6601"/>
      <c r="CH16" s="6601"/>
      <c r="CI16" s="6601"/>
      <c r="CJ16" s="6601"/>
      <c r="CK16" s="6601"/>
      <c r="CL16" s="6601"/>
      <c r="CM16" s="6601"/>
      <c r="CN16" s="6601"/>
      <c r="CO16" s="6601"/>
      <c r="CP16" s="6601"/>
      <c r="CQ16" s="6601"/>
      <c r="CR16" s="6601"/>
      <c r="CS16" s="6601"/>
      <c r="CT16" s="6601"/>
      <c r="CU16" s="6601"/>
      <c r="CV16" s="6601"/>
      <c r="CW16" s="6601"/>
      <c r="CX16" s="6601"/>
      <c r="CY16" s="6601"/>
      <c r="CZ16" s="6601"/>
      <c r="DA16" s="6601"/>
      <c r="DB16" s="6601"/>
      <c r="DC16" s="6601"/>
      <c r="DD16" s="6601"/>
      <c r="DE16" s="6601"/>
      <c r="DF16" s="6601"/>
      <c r="DG16" s="6601"/>
      <c r="DH16" s="6601"/>
      <c r="DI16" s="6601"/>
      <c r="DJ16" s="6601"/>
      <c r="DK16" s="6601"/>
      <c r="DL16" s="6601"/>
      <c r="DM16" s="6601"/>
      <c r="DN16" s="6601"/>
      <c r="DO16" s="6601"/>
      <c r="DP16" s="6601"/>
      <c r="DQ16" s="6601"/>
      <c r="DR16" s="6601"/>
      <c r="DS16" s="6601"/>
      <c r="DT16" s="6601"/>
      <c r="DU16" s="6601"/>
      <c r="DV16" s="6601"/>
      <c r="DW16" s="6601"/>
      <c r="DX16" s="6601"/>
      <c r="DY16" s="6601"/>
      <c r="DZ16" s="6601"/>
      <c r="EA16" s="6601"/>
      <c r="EB16" s="18868"/>
      <c r="EC16" s="18868"/>
      <c r="ED16" s="18868"/>
      <c r="EE16" s="18868"/>
      <c r="EF16" s="18868"/>
      <c r="EG16" s="18868"/>
      <c r="EH16" s="18868"/>
      <c r="EI16" s="18868"/>
      <c r="EJ16" s="18868"/>
      <c r="EK16" s="18868"/>
      <c r="EL16" s="18868"/>
      <c r="EM16" s="18868"/>
      <c r="EN16" s="18868"/>
      <c r="EO16" s="18868"/>
      <c r="EP16" s="18868"/>
      <c r="EQ16" s="18868"/>
      <c r="ER16" s="18868"/>
      <c r="ES16" s="18868"/>
      <c r="ET16" s="18868"/>
      <c r="EU16" s="18868"/>
      <c r="EV16" s="18868"/>
      <c r="EW16" s="18868"/>
    </row>
    <row customHeight="1" ht="14.25" hidden="1">
      <c r="AQ17" s="688"/>
      <c r="AR17" s="6601"/>
      <c r="AS17" s="6601"/>
      <c r="AT17" s="6601"/>
      <c r="AU17" s="6601"/>
      <c r="AV17" s="6601"/>
      <c r="AW17" s="6601"/>
      <c r="AX17" s="6601"/>
      <c r="AY17" s="6601"/>
      <c r="AZ17" s="6601"/>
      <c r="BA17" s="6601"/>
      <c r="BB17" s="6601"/>
      <c r="BC17" s="6601"/>
      <c r="BD17" s="6601"/>
      <c r="BE17" s="6601"/>
      <c r="BF17" s="6601"/>
      <c r="BG17" s="6601"/>
      <c r="BH17" s="6601"/>
      <c r="BI17" s="6601"/>
      <c r="BJ17" s="6601"/>
      <c r="BK17" s="6601"/>
      <c r="BL17" s="6601"/>
      <c r="BM17" s="6601"/>
      <c r="BN17" s="6601"/>
      <c r="BO17" s="6601"/>
      <c r="BP17" s="6601"/>
      <c r="BQ17" s="6601"/>
      <c r="BR17" s="6601"/>
      <c r="BS17" s="6601"/>
      <c r="BT17" s="6601"/>
      <c r="BU17" s="6601"/>
      <c r="BV17" s="6601"/>
      <c r="BW17" s="6601"/>
      <c r="BX17" s="6601"/>
      <c r="BY17" s="6601"/>
      <c r="BZ17" s="6601"/>
      <c r="CA17" s="6601"/>
      <c r="CB17" s="6601"/>
      <c r="CC17" s="6601"/>
      <c r="CD17" s="6601"/>
      <c r="CE17" s="6601"/>
      <c r="CF17" s="6601"/>
      <c r="CG17" s="6601"/>
      <c r="CH17" s="6601"/>
      <c r="CI17" s="6601"/>
      <c r="CJ17" s="6601"/>
      <c r="CK17" s="6601"/>
      <c r="CL17" s="6601"/>
      <c r="CM17" s="6601"/>
      <c r="CN17" s="6601"/>
      <c r="CO17" s="6601"/>
      <c r="CP17" s="6601"/>
      <c r="CQ17" s="6601"/>
      <c r="CR17" s="6601"/>
      <c r="CS17" s="6601"/>
      <c r="CT17" s="6601"/>
      <c r="CU17" s="6601"/>
      <c r="CV17" s="6601"/>
      <c r="CW17" s="6601"/>
      <c r="CX17" s="6601"/>
      <c r="CY17" s="6601"/>
      <c r="CZ17" s="6601"/>
      <c r="DA17" s="6601"/>
      <c r="DB17" s="6601"/>
      <c r="DC17" s="6601"/>
      <c r="DD17" s="6601"/>
      <c r="DE17" s="6601"/>
      <c r="DF17" s="6601"/>
      <c r="DG17" s="6601"/>
      <c r="DH17" s="6601"/>
      <c r="DI17" s="6601"/>
      <c r="DJ17" s="6601"/>
      <c r="DK17" s="6601"/>
      <c r="DL17" s="6601"/>
      <c r="DM17" s="6601"/>
      <c r="DN17" s="6601"/>
      <c r="DO17" s="6601"/>
      <c r="DP17" s="6601"/>
      <c r="DQ17" s="6601"/>
      <c r="DR17" s="6601"/>
      <c r="DS17" s="6601"/>
      <c r="DT17" s="6601"/>
      <c r="DU17" s="6601"/>
      <c r="DV17" s="6601"/>
      <c r="DW17" s="6601"/>
      <c r="DX17" s="6601"/>
      <c r="DY17" s="6601"/>
      <c r="DZ17" s="6601"/>
      <c r="EA17" s="6601"/>
      <c r="EB17" s="18868"/>
      <c r="EC17" s="18868"/>
      <c r="ED17" s="18868"/>
      <c r="EE17" s="18868"/>
      <c r="EF17" s="18868"/>
      <c r="EG17" s="18868"/>
      <c r="EH17" s="18868"/>
      <c r="EI17" s="18868"/>
      <c r="EJ17" s="18868"/>
      <c r="EK17" s="18868"/>
      <c r="EL17" s="18868"/>
      <c r="EM17" s="18868"/>
      <c r="EN17" s="18868"/>
      <c r="EO17" s="18868"/>
      <c r="EP17" s="18868"/>
      <c r="EQ17" s="18868"/>
      <c r="ER17" s="18868"/>
      <c r="ES17" s="18868"/>
      <c r="ET17" s="18868"/>
      <c r="EU17" s="18868"/>
      <c r="EV17" s="18868"/>
      <c r="EW17" s="18868"/>
    </row>
    <row s="32217" customFormat="1" customHeight="1" ht="22.5" hidden="1">
      <c r="L18" s="1844"/>
      <c r="M18" s="1728"/>
      <c r="N18" s="1728"/>
      <c r="O18" s="1733" t="s">
        <v>456</v>
      </c>
      <c r="P18" s="1728"/>
      <c r="Q18" s="1737"/>
      <c r="R18" s="1737"/>
      <c r="S18" s="1090"/>
      <c r="W18" s="1732"/>
      <c r="X18" s="1732"/>
      <c r="Y18" s="1732"/>
      <c r="Z18" s="1732"/>
      <c r="AA18" s="1732"/>
      <c r="AB18" s="1732"/>
      <c r="AC18" s="1733"/>
      <c r="AE18" s="1733"/>
      <c r="AF18" s="1732"/>
      <c r="AH18" s="1732"/>
      <c r="AI18" s="1732"/>
      <c r="AJ18" s="1732"/>
      <c r="AK18" s="1732"/>
      <c r="AL18" s="1732"/>
      <c r="AN18" s="1733"/>
      <c r="AP18" s="1733"/>
      <c r="AQ18" s="1732"/>
      <c r="AR18" s="6881"/>
      <c r="AS18" s="6881"/>
      <c r="AT18" s="6881"/>
      <c r="AU18" s="6881"/>
      <c r="AV18" s="6881"/>
      <c r="AW18" s="6881"/>
      <c r="AX18" s="6881"/>
      <c r="AY18" s="6882"/>
      <c r="AZ18" s="6881"/>
      <c r="BA18" s="6882"/>
      <c r="BB18" s="6881"/>
      <c r="BC18" s="6881"/>
      <c r="BD18" s="6881"/>
      <c r="BE18" s="6881"/>
      <c r="BF18" s="6881"/>
      <c r="BG18" s="6881"/>
      <c r="BH18" s="6881"/>
      <c r="BI18" s="6881"/>
      <c r="BJ18" s="6882"/>
      <c r="BK18" s="6881"/>
      <c r="BL18" s="6882"/>
      <c r="BM18" s="6881"/>
      <c r="BN18" s="6881"/>
      <c r="BO18" s="6881"/>
      <c r="BP18" s="6881"/>
      <c r="BQ18" s="6881"/>
      <c r="BR18" s="6881"/>
      <c r="BS18" s="6881"/>
      <c r="BT18" s="6881"/>
      <c r="BU18" s="6882"/>
      <c r="BV18" s="6881"/>
      <c r="BW18" s="6882"/>
      <c r="BX18" s="6881"/>
      <c r="BY18" s="6881"/>
      <c r="BZ18" s="6881"/>
      <c r="CA18" s="6881"/>
      <c r="CB18" s="6881"/>
      <c r="CC18" s="6881"/>
      <c r="CD18" s="6881"/>
      <c r="CE18" s="6881"/>
      <c r="CF18" s="6882"/>
      <c r="CG18" s="6881"/>
      <c r="CH18" s="6882"/>
      <c r="CI18" s="6881"/>
      <c r="CJ18" s="6881"/>
      <c r="CK18" s="6881"/>
      <c r="CL18" s="6881"/>
      <c r="CM18" s="6881"/>
      <c r="CN18" s="6881"/>
      <c r="CO18" s="6881"/>
      <c r="CP18" s="6881"/>
      <c r="CQ18" s="6882"/>
      <c r="CR18" s="6881"/>
      <c r="CS18" s="6882"/>
      <c r="CT18" s="6881"/>
      <c r="CU18" s="6881"/>
      <c r="CV18" s="6881"/>
      <c r="CW18" s="6881"/>
      <c r="CX18" s="6881"/>
      <c r="CY18" s="6881"/>
      <c r="CZ18" s="6881"/>
      <c r="DA18" s="6881"/>
      <c r="DB18" s="6882"/>
      <c r="DC18" s="6881"/>
      <c r="DD18" s="6882"/>
      <c r="DE18" s="6881"/>
      <c r="DF18" s="6881"/>
      <c r="DG18" s="6881"/>
      <c r="DH18" s="6881"/>
      <c r="DI18" s="6881"/>
      <c r="DJ18" s="6881"/>
      <c r="DK18" s="6881"/>
      <c r="DL18" s="6881"/>
      <c r="DM18" s="6882"/>
      <c r="DN18" s="6881"/>
      <c r="DO18" s="6882"/>
      <c r="DP18" s="6881"/>
      <c r="DQ18" s="6881"/>
      <c r="DR18" s="6881"/>
      <c r="DS18" s="6881"/>
      <c r="DT18" s="6881"/>
      <c r="DU18" s="6881"/>
      <c r="DV18" s="6881"/>
      <c r="DW18" s="6881"/>
      <c r="DX18" s="6882"/>
      <c r="DY18" s="6881"/>
      <c r="DZ18" s="6882"/>
      <c r="EA18" s="6881"/>
      <c r="EB18" s="19231"/>
      <c r="EC18" s="19231"/>
      <c r="ED18" s="19231"/>
      <c r="EE18" s="19231"/>
      <c r="EF18" s="19231"/>
      <c r="EG18" s="19231"/>
      <c r="EH18" s="19231"/>
      <c r="EI18" s="19232"/>
      <c r="EJ18" s="19231"/>
      <c r="EK18" s="19232"/>
      <c r="EL18" s="19231"/>
      <c r="EM18" s="19231"/>
      <c r="EN18" s="19231"/>
      <c r="EO18" s="19231"/>
      <c r="EP18" s="19231"/>
      <c r="EQ18" s="19231"/>
      <c r="ER18" s="19231"/>
      <c r="ES18" s="19231"/>
      <c r="ET18" s="19232"/>
      <c r="EU18" s="19231"/>
      <c r="EV18" s="19232"/>
      <c r="EW18" s="19231"/>
      <c r="EZ18" s="872"/>
      <c r="FA18" s="872"/>
      <c r="FB18" s="872"/>
      <c r="FC18" s="872"/>
      <c r="FD18" s="872"/>
    </row>
    <row s="32217" customFormat="1" customHeight="1" ht="14.25" hidden="1">
      <c r="L19" s="1844"/>
      <c r="M19" s="1728"/>
      <c r="N19" s="1728"/>
      <c r="O19" s="1728"/>
      <c r="P19" s="1728"/>
      <c r="Q19" s="1737"/>
      <c r="R19" s="1737"/>
      <c r="S19" s="1090"/>
      <c r="W19" s="1732"/>
      <c r="X19" s="1732"/>
      <c r="Y19" s="1732"/>
      <c r="Z19" s="1732"/>
      <c r="AA19" s="1732"/>
      <c r="AB19" s="1732"/>
      <c r="AF19" s="1732"/>
      <c r="AH19" s="1732"/>
      <c r="AI19" s="1732"/>
      <c r="AJ19" s="1732"/>
      <c r="AK19" s="1732"/>
      <c r="AL19" s="1732"/>
      <c r="AQ19" s="1732"/>
      <c r="AR19" s="6881"/>
      <c r="AS19" s="6881"/>
      <c r="AT19" s="6881"/>
      <c r="AU19" s="6881"/>
      <c r="AV19" s="6881"/>
      <c r="AW19" s="6881"/>
      <c r="AX19" s="6881"/>
      <c r="AY19" s="6881"/>
      <c r="AZ19" s="6881"/>
      <c r="BA19" s="6881"/>
      <c r="BB19" s="6881"/>
      <c r="BC19" s="6881"/>
      <c r="BD19" s="6881"/>
      <c r="BE19" s="6881"/>
      <c r="BF19" s="6881"/>
      <c r="BG19" s="6881"/>
      <c r="BH19" s="6881"/>
      <c r="BI19" s="6881"/>
      <c r="BJ19" s="6881"/>
      <c r="BK19" s="6881"/>
      <c r="BL19" s="6881"/>
      <c r="BM19" s="6881"/>
      <c r="BN19" s="6881"/>
      <c r="BO19" s="6881"/>
      <c r="BP19" s="6881"/>
      <c r="BQ19" s="6881"/>
      <c r="BR19" s="6881"/>
      <c r="BS19" s="6881"/>
      <c r="BT19" s="6881"/>
      <c r="BU19" s="6881"/>
      <c r="BV19" s="6881"/>
      <c r="BW19" s="6881"/>
      <c r="BX19" s="6881"/>
      <c r="BY19" s="6881"/>
      <c r="BZ19" s="6881"/>
      <c r="CA19" s="6881"/>
      <c r="CB19" s="6881"/>
      <c r="CC19" s="6881"/>
      <c r="CD19" s="6881"/>
      <c r="CE19" s="6881"/>
      <c r="CF19" s="6881"/>
      <c r="CG19" s="6881"/>
      <c r="CH19" s="6881"/>
      <c r="CI19" s="6881"/>
      <c r="CJ19" s="6881"/>
      <c r="CK19" s="6881"/>
      <c r="CL19" s="6881"/>
      <c r="CM19" s="6881"/>
      <c r="CN19" s="6881"/>
      <c r="CO19" s="6881"/>
      <c r="CP19" s="6881"/>
      <c r="CQ19" s="6881"/>
      <c r="CR19" s="6881"/>
      <c r="CS19" s="6881"/>
      <c r="CT19" s="6881"/>
      <c r="CU19" s="6881"/>
      <c r="CV19" s="6881"/>
      <c r="CW19" s="6881"/>
      <c r="CX19" s="6881"/>
      <c r="CY19" s="6881"/>
      <c r="CZ19" s="6881"/>
      <c r="DA19" s="6881"/>
      <c r="DB19" s="6881"/>
      <c r="DC19" s="6881"/>
      <c r="DD19" s="6881"/>
      <c r="DE19" s="6881"/>
      <c r="DF19" s="6881"/>
      <c r="DG19" s="6881"/>
      <c r="DH19" s="6881"/>
      <c r="DI19" s="6881"/>
      <c r="DJ19" s="6881"/>
      <c r="DK19" s="6881"/>
      <c r="DL19" s="6881"/>
      <c r="DM19" s="6881"/>
      <c r="DN19" s="6881"/>
      <c r="DO19" s="6881"/>
      <c r="DP19" s="6881"/>
      <c r="DQ19" s="6881"/>
      <c r="DR19" s="6881"/>
      <c r="DS19" s="6881"/>
      <c r="DT19" s="6881"/>
      <c r="DU19" s="6881"/>
      <c r="DV19" s="6881"/>
      <c r="DW19" s="6881"/>
      <c r="DX19" s="6881"/>
      <c r="DY19" s="6881"/>
      <c r="DZ19" s="6881"/>
      <c r="EA19" s="6881"/>
      <c r="EB19" s="19231"/>
      <c r="EC19" s="19231"/>
      <c r="ED19" s="19231"/>
      <c r="EE19" s="19231"/>
      <c r="EF19" s="19231"/>
      <c r="EG19" s="19231"/>
      <c r="EH19" s="19231"/>
      <c r="EI19" s="19231"/>
      <c r="EJ19" s="19231"/>
      <c r="EK19" s="19231"/>
      <c r="EL19" s="19231"/>
      <c r="EM19" s="19231"/>
      <c r="EN19" s="19231"/>
      <c r="EO19" s="19231"/>
      <c r="EP19" s="19231"/>
      <c r="EQ19" s="19231"/>
      <c r="ER19" s="19231"/>
      <c r="ES19" s="19231"/>
      <c r="ET19" s="19231"/>
      <c r="EU19" s="19231"/>
      <c r="EV19" s="19231"/>
      <c r="EW19" s="19231"/>
      <c r="EZ19" s="872"/>
      <c r="FA19" s="872"/>
      <c r="FB19" s="872"/>
      <c r="FC19" s="872"/>
      <c r="FD19" s="872"/>
    </row>
    <row s="32217" customFormat="1" customHeight="1" ht="12" hidden="1">
      <c r="L20" s="1844"/>
      <c r="M20" s="1728"/>
      <c r="N20" s="1728"/>
      <c r="O20" s="1730" t="s">
        <v>457</v>
      </c>
      <c r="P20" s="1728"/>
      <c r="Q20" s="1808"/>
      <c r="R20" s="1808"/>
      <c r="S20" s="1090"/>
      <c r="T20" s="1523" t="s">
        <v>458</v>
      </c>
      <c r="W20" s="1732"/>
      <c r="X20" s="1732"/>
      <c r="Y20" s="1732"/>
      <c r="Z20" s="1732"/>
      <c r="AA20" s="1732"/>
      <c r="AB20" s="1732"/>
      <c r="AD20" s="547" t="s">
        <v>459</v>
      </c>
      <c r="AF20" s="547" t="s">
        <v>460</v>
      </c>
      <c r="AG20" s="1523" t="s">
        <v>458</v>
      </c>
      <c r="AH20" s="1732"/>
      <c r="AI20" s="1732"/>
      <c r="AJ20" s="1732"/>
      <c r="AK20" s="1732"/>
      <c r="AL20" s="1732"/>
      <c r="AO20" s="547" t="s">
        <v>461</v>
      </c>
      <c r="AQ20" s="547" t="s">
        <v>460</v>
      </c>
      <c r="AR20" s="6881"/>
      <c r="AS20" s="6881"/>
      <c r="AT20" s="6881"/>
      <c r="AU20" s="6881"/>
      <c r="AV20" s="6881"/>
      <c r="AW20" s="6881"/>
      <c r="AX20" s="6881"/>
      <c r="AY20" s="6881"/>
      <c r="AZ20" s="6883" t="s">
        <v>459</v>
      </c>
      <c r="BA20" s="6881"/>
      <c r="BB20" s="6883" t="s">
        <v>460</v>
      </c>
      <c r="BC20" s="6881"/>
      <c r="BD20" s="6881"/>
      <c r="BE20" s="6881"/>
      <c r="BF20" s="6881"/>
      <c r="BG20" s="6881"/>
      <c r="BH20" s="6881"/>
      <c r="BI20" s="6881"/>
      <c r="BJ20" s="6881"/>
      <c r="BK20" s="6883" t="s">
        <v>459</v>
      </c>
      <c r="BL20" s="6881"/>
      <c r="BM20" s="6883" t="s">
        <v>460</v>
      </c>
      <c r="BN20" s="6881"/>
      <c r="BO20" s="6881"/>
      <c r="BP20" s="6881"/>
      <c r="BQ20" s="6881"/>
      <c r="BR20" s="6881"/>
      <c r="BS20" s="6881"/>
      <c r="BT20" s="6881"/>
      <c r="BU20" s="6881"/>
      <c r="BV20" s="6883" t="s">
        <v>459</v>
      </c>
      <c r="BW20" s="6881"/>
      <c r="BX20" s="6883" t="s">
        <v>460</v>
      </c>
      <c r="BY20" s="6881"/>
      <c r="BZ20" s="6881"/>
      <c r="CA20" s="6881"/>
      <c r="CB20" s="6881"/>
      <c r="CC20" s="6881"/>
      <c r="CD20" s="6881"/>
      <c r="CE20" s="6881"/>
      <c r="CF20" s="6881"/>
      <c r="CG20" s="6883" t="s">
        <v>459</v>
      </c>
      <c r="CH20" s="6881"/>
      <c r="CI20" s="6883" t="s">
        <v>460</v>
      </c>
      <c r="CJ20" s="6881"/>
      <c r="CK20" s="6881"/>
      <c r="CL20" s="6881"/>
      <c r="CM20" s="6881"/>
      <c r="CN20" s="6881"/>
      <c r="CO20" s="6881"/>
      <c r="CP20" s="6881"/>
      <c r="CQ20" s="6881"/>
      <c r="CR20" s="6883" t="s">
        <v>459</v>
      </c>
      <c r="CS20" s="6881"/>
      <c r="CT20" s="6883" t="s">
        <v>460</v>
      </c>
      <c r="CU20" s="6881"/>
      <c r="CV20" s="6881"/>
      <c r="CW20" s="6881"/>
      <c r="CX20" s="6881"/>
      <c r="CY20" s="6881"/>
      <c r="CZ20" s="6881"/>
      <c r="DA20" s="6881"/>
      <c r="DB20" s="6881"/>
      <c r="DC20" s="6883" t="s">
        <v>459</v>
      </c>
      <c r="DD20" s="6881"/>
      <c r="DE20" s="6883" t="s">
        <v>460</v>
      </c>
      <c r="DF20" s="6881"/>
      <c r="DG20" s="6881"/>
      <c r="DH20" s="6881"/>
      <c r="DI20" s="6881"/>
      <c r="DJ20" s="6881"/>
      <c r="DK20" s="6881"/>
      <c r="DL20" s="6881"/>
      <c r="DM20" s="6881"/>
      <c r="DN20" s="6883" t="s">
        <v>459</v>
      </c>
      <c r="DO20" s="6881"/>
      <c r="DP20" s="6883" t="s">
        <v>460</v>
      </c>
      <c r="DQ20" s="6881"/>
      <c r="DR20" s="6881"/>
      <c r="DS20" s="6881"/>
      <c r="DT20" s="6881"/>
      <c r="DU20" s="6881"/>
      <c r="DV20" s="6881"/>
      <c r="DW20" s="6881"/>
      <c r="DX20" s="6881"/>
      <c r="DY20" s="6883" t="s">
        <v>459</v>
      </c>
      <c r="DZ20" s="6881"/>
      <c r="EA20" s="6883" t="s">
        <v>460</v>
      </c>
      <c r="EB20" s="19231"/>
      <c r="EC20" s="19231"/>
      <c r="ED20" s="19231"/>
      <c r="EE20" s="19231"/>
      <c r="EF20" s="19231"/>
      <c r="EG20" s="19231"/>
      <c r="EH20" s="19231"/>
      <c r="EI20" s="19231"/>
      <c r="EJ20" s="19234" t="s">
        <v>459</v>
      </c>
      <c r="EK20" s="19231"/>
      <c r="EL20" s="19234" t="s">
        <v>460</v>
      </c>
      <c r="EM20" s="19231"/>
      <c r="EN20" s="19231"/>
      <c r="EO20" s="19231"/>
      <c r="EP20" s="19231"/>
      <c r="EQ20" s="19231"/>
      <c r="ER20" s="19231"/>
      <c r="ES20" s="19231"/>
      <c r="ET20" s="19231"/>
      <c r="EU20" s="19234" t="s">
        <v>459</v>
      </c>
      <c r="EV20" s="19231"/>
      <c r="EW20" s="19234" t="s">
        <v>460</v>
      </c>
    </row>
    <row customHeight="1" ht="14.25" hidden="1">
      <c r="O21" s="1730"/>
      <c r="AR21" s="6601"/>
      <c r="AS21" s="6601"/>
      <c r="AT21" s="6601"/>
      <c r="AU21" s="6601"/>
      <c r="AV21" s="6601"/>
      <c r="AW21" s="6601"/>
      <c r="AX21" s="6601"/>
      <c r="AY21" s="6601"/>
      <c r="AZ21" s="6601"/>
      <c r="BA21" s="6601"/>
      <c r="BB21" s="6601"/>
      <c r="BC21" s="6601"/>
      <c r="BD21" s="6601"/>
      <c r="BE21" s="6601"/>
      <c r="BF21" s="6601"/>
      <c r="BG21" s="6601"/>
      <c r="BH21" s="6601"/>
      <c r="BI21" s="6601"/>
      <c r="BJ21" s="6601"/>
      <c r="BK21" s="6601"/>
      <c r="BL21" s="6601"/>
      <c r="BM21" s="6601"/>
      <c r="BN21" s="6601"/>
      <c r="BO21" s="6601"/>
      <c r="BP21" s="6601"/>
      <c r="BQ21" s="6601"/>
      <c r="BR21" s="6601"/>
      <c r="BS21" s="6601"/>
      <c r="BT21" s="6601"/>
      <c r="BU21" s="6601"/>
      <c r="BV21" s="6601"/>
      <c r="BW21" s="6601"/>
      <c r="BX21" s="6601"/>
      <c r="BY21" s="6601"/>
      <c r="BZ21" s="6601"/>
      <c r="CA21" s="6601"/>
      <c r="CB21" s="6601"/>
      <c r="CC21" s="6601"/>
      <c r="CD21" s="6601"/>
      <c r="CE21" s="6601"/>
      <c r="CF21" s="6601"/>
      <c r="CG21" s="6601"/>
      <c r="CH21" s="6601"/>
      <c r="CI21" s="6601"/>
      <c r="CJ21" s="6601"/>
      <c r="CK21" s="6601"/>
      <c r="CL21" s="6601"/>
      <c r="CM21" s="6601"/>
      <c r="CN21" s="6601"/>
      <c r="CO21" s="6601"/>
      <c r="CP21" s="6601"/>
      <c r="CQ21" s="6601"/>
      <c r="CR21" s="6601"/>
      <c r="CS21" s="6601"/>
      <c r="CT21" s="6601"/>
      <c r="CU21" s="6601"/>
      <c r="CV21" s="6601"/>
      <c r="CW21" s="6601"/>
      <c r="CX21" s="6601"/>
      <c r="CY21" s="6601"/>
      <c r="CZ21" s="6601"/>
      <c r="DA21" s="6601"/>
      <c r="DB21" s="6601"/>
      <c r="DC21" s="6601"/>
      <c r="DD21" s="6601"/>
      <c r="DE21" s="6601"/>
      <c r="DF21" s="6601"/>
      <c r="DG21" s="6601"/>
      <c r="DH21" s="6601"/>
      <c r="DI21" s="6601"/>
      <c r="DJ21" s="6601"/>
      <c r="DK21" s="6601"/>
      <c r="DL21" s="6601"/>
      <c r="DM21" s="6601"/>
      <c r="DN21" s="6601"/>
      <c r="DO21" s="6601"/>
      <c r="DP21" s="6601"/>
      <c r="DQ21" s="6601"/>
      <c r="DR21" s="6601"/>
      <c r="DS21" s="6601"/>
      <c r="DT21" s="6601"/>
      <c r="DU21" s="6601"/>
      <c r="DV21" s="6601"/>
      <c r="DW21" s="6601"/>
      <c r="DX21" s="6601"/>
      <c r="DY21" s="6601"/>
      <c r="DZ21" s="6601"/>
      <c r="EA21" s="6601"/>
      <c r="EB21" s="18868"/>
      <c r="EC21" s="18868"/>
      <c r="ED21" s="18868"/>
      <c r="EE21" s="18868"/>
      <c r="EF21" s="18868"/>
      <c r="EG21" s="18868"/>
      <c r="EH21" s="18868"/>
      <c r="EI21" s="18868"/>
      <c r="EJ21" s="18868"/>
      <c r="EK21" s="18868"/>
      <c r="EL21" s="18868"/>
      <c r="EM21" s="18868"/>
      <c r="EN21" s="18868"/>
      <c r="EO21" s="18868"/>
      <c r="EP21" s="18868"/>
      <c r="EQ21" s="18868"/>
      <c r="ER21" s="18868"/>
      <c r="ES21" s="18868"/>
      <c r="ET21" s="18868"/>
      <c r="EU21" s="18868"/>
      <c r="EV21" s="18868"/>
      <c r="EW21" s="18868"/>
    </row>
    <row customHeight="1" ht="14.25" hidden="1">
      <c r="O22" s="1730"/>
      <c r="AR22" s="6601"/>
      <c r="AS22" s="6601"/>
      <c r="AT22" s="6601"/>
      <c r="AU22" s="6601"/>
      <c r="AV22" s="6601"/>
      <c r="AW22" s="6601"/>
      <c r="AX22" s="6601"/>
      <c r="AY22" s="6601"/>
      <c r="AZ22" s="6601"/>
      <c r="BA22" s="6601"/>
      <c r="BB22" s="6601"/>
      <c r="BC22" s="6601"/>
      <c r="BD22" s="6601"/>
      <c r="BE22" s="6601"/>
      <c r="BF22" s="6601"/>
      <c r="BG22" s="6601"/>
      <c r="BH22" s="6601"/>
      <c r="BI22" s="6601"/>
      <c r="BJ22" s="6601"/>
      <c r="BK22" s="6601"/>
      <c r="BL22" s="6601"/>
      <c r="BM22" s="6601"/>
      <c r="BN22" s="6601"/>
      <c r="BO22" s="6601"/>
      <c r="BP22" s="6601"/>
      <c r="BQ22" s="6601"/>
      <c r="BR22" s="6601"/>
      <c r="BS22" s="6601"/>
      <c r="BT22" s="6601"/>
      <c r="BU22" s="6601"/>
      <c r="BV22" s="6601"/>
      <c r="BW22" s="6601"/>
      <c r="BX22" s="6601"/>
      <c r="BY22" s="6601"/>
      <c r="BZ22" s="6601"/>
      <c r="CA22" s="6601"/>
      <c r="CB22" s="6601"/>
      <c r="CC22" s="6601"/>
      <c r="CD22" s="6601"/>
      <c r="CE22" s="6601"/>
      <c r="CF22" s="6601"/>
      <c r="CG22" s="6601"/>
      <c r="CH22" s="6601"/>
      <c r="CI22" s="6601"/>
      <c r="CJ22" s="6601"/>
      <c r="CK22" s="6601"/>
      <c r="CL22" s="6601"/>
      <c r="CM22" s="6601"/>
      <c r="CN22" s="6601"/>
      <c r="CO22" s="6601"/>
      <c r="CP22" s="6601"/>
      <c r="CQ22" s="6601"/>
      <c r="CR22" s="6601"/>
      <c r="CS22" s="6601"/>
      <c r="CT22" s="6601"/>
      <c r="CU22" s="6601"/>
      <c r="CV22" s="6601"/>
      <c r="CW22" s="6601"/>
      <c r="CX22" s="6601"/>
      <c r="CY22" s="6601"/>
      <c r="CZ22" s="6601"/>
      <c r="DA22" s="6601"/>
      <c r="DB22" s="6601"/>
      <c r="DC22" s="6601"/>
      <c r="DD22" s="6601"/>
      <c r="DE22" s="6601"/>
      <c r="DF22" s="6601"/>
      <c r="DG22" s="6601"/>
      <c r="DH22" s="6601"/>
      <c r="DI22" s="6601"/>
      <c r="DJ22" s="6601"/>
      <c r="DK22" s="6601"/>
      <c r="DL22" s="6601"/>
      <c r="DM22" s="6601"/>
      <c r="DN22" s="6601"/>
      <c r="DO22" s="6601"/>
      <c r="DP22" s="6601"/>
      <c r="DQ22" s="6601"/>
      <c r="DR22" s="6601"/>
      <c r="DS22" s="6601"/>
      <c r="DT22" s="6601"/>
      <c r="DU22" s="6601"/>
      <c r="DV22" s="6601"/>
      <c r="DW22" s="6601"/>
      <c r="DX22" s="6601"/>
      <c r="DY22" s="6601"/>
      <c r="DZ22" s="6601"/>
      <c r="EA22" s="6601"/>
      <c r="EB22" s="18868"/>
      <c r="EC22" s="18868"/>
      <c r="ED22" s="18868"/>
      <c r="EE22" s="18868"/>
      <c r="EF22" s="18868"/>
      <c r="EG22" s="18868"/>
      <c r="EH22" s="18868"/>
      <c r="EI22" s="18868"/>
      <c r="EJ22" s="18868"/>
      <c r="EK22" s="18868"/>
      <c r="EL22" s="18868"/>
      <c r="EM22" s="18868"/>
      <c r="EN22" s="18868"/>
      <c r="EO22" s="18868"/>
      <c r="EP22" s="18868"/>
      <c r="EQ22" s="18868"/>
      <c r="ER22" s="18868"/>
      <c r="ES22" s="18868"/>
      <c r="ET22" s="18868"/>
      <c r="EU22" s="18868"/>
      <c r="EV22" s="18868"/>
      <c r="EW22" s="18868"/>
    </row>
    <row customHeight="1" ht="14.25">
      <c r="Q23" s="737"/>
      <c r="R23" s="737"/>
      <c r="S23" s="1641"/>
      <c r="T23" s="724"/>
      <c r="U23" s="724"/>
      <c r="V23" s="870"/>
      <c r="W23" s="2001"/>
      <c r="X23" s="2001"/>
      <c r="Y23" s="2001"/>
      <c r="Z23" s="2001"/>
      <c r="AA23" s="2001"/>
      <c r="AB23" s="2001"/>
      <c r="AC23" s="870"/>
      <c r="AD23" s="870"/>
      <c r="AE23" s="870"/>
      <c r="AF23" s="870"/>
      <c r="AG23" s="870"/>
      <c r="AH23" s="2001"/>
      <c r="AI23" s="2001"/>
      <c r="AJ23" s="2001"/>
      <c r="AK23" s="2001"/>
      <c r="AL23" s="2001"/>
      <c r="AM23" s="870"/>
      <c r="AN23" s="870"/>
      <c r="AO23" s="870"/>
      <c r="AP23" s="870"/>
      <c r="AQ23" s="870"/>
      <c r="AR23" s="6601"/>
      <c r="AS23" s="6601"/>
      <c r="AT23" s="6601"/>
      <c r="AU23" s="6601"/>
      <c r="AV23" s="6601"/>
      <c r="AW23" s="6601"/>
      <c r="AX23" s="6601"/>
      <c r="AY23" s="6601"/>
      <c r="AZ23" s="6601"/>
      <c r="BA23" s="6601"/>
      <c r="BB23" s="6601"/>
      <c r="BC23" s="6601"/>
      <c r="BD23" s="6601"/>
      <c r="BE23" s="6601"/>
      <c r="BF23" s="6601"/>
      <c r="BG23" s="6601"/>
      <c r="BH23" s="6601"/>
      <c r="BI23" s="6601"/>
      <c r="BJ23" s="6601"/>
      <c r="BK23" s="6601"/>
      <c r="BL23" s="6601"/>
      <c r="BM23" s="6601"/>
      <c r="BN23" s="6601"/>
      <c r="BO23" s="6601"/>
      <c r="BP23" s="6601"/>
      <c r="BQ23" s="6601"/>
      <c r="BR23" s="6601"/>
      <c r="BS23" s="6601"/>
      <c r="BT23" s="6601"/>
      <c r="BU23" s="6601"/>
      <c r="BV23" s="6601"/>
      <c r="BW23" s="6601"/>
      <c r="BX23" s="6601"/>
      <c r="BY23" s="6601"/>
      <c r="BZ23" s="6601"/>
      <c r="CA23" s="6601"/>
      <c r="CB23" s="6601"/>
      <c r="CC23" s="6601"/>
      <c r="CD23" s="6601"/>
      <c r="CE23" s="6601"/>
      <c r="CF23" s="6601"/>
      <c r="CG23" s="6601"/>
      <c r="CH23" s="6601"/>
      <c r="CI23" s="6601"/>
      <c r="CJ23" s="6601"/>
      <c r="CK23" s="6601"/>
      <c r="CL23" s="6601"/>
      <c r="CM23" s="6601"/>
      <c r="CN23" s="6601"/>
      <c r="CO23" s="6601"/>
      <c r="CP23" s="6601"/>
      <c r="CQ23" s="6601"/>
      <c r="CR23" s="6601"/>
      <c r="CS23" s="6601"/>
      <c r="CT23" s="6601"/>
      <c r="CU23" s="6601"/>
      <c r="CV23" s="6601"/>
      <c r="CW23" s="6601"/>
      <c r="CX23" s="6601"/>
      <c r="CY23" s="6601"/>
      <c r="CZ23" s="6601"/>
      <c r="DA23" s="6601"/>
      <c r="DB23" s="6601"/>
      <c r="DC23" s="6601"/>
      <c r="DD23" s="6601"/>
      <c r="DE23" s="6601"/>
      <c r="DF23" s="6601"/>
      <c r="DG23" s="6601"/>
      <c r="DH23" s="6601"/>
      <c r="DI23" s="6601"/>
      <c r="DJ23" s="6601"/>
      <c r="DK23" s="6601"/>
      <c r="DL23" s="6601"/>
      <c r="DM23" s="6601"/>
      <c r="DN23" s="6601"/>
      <c r="DO23" s="6601"/>
      <c r="DP23" s="6601"/>
      <c r="DQ23" s="6601"/>
      <c r="DR23" s="6601"/>
      <c r="DS23" s="6601"/>
      <c r="DT23" s="6601"/>
      <c r="DU23" s="6601"/>
      <c r="DV23" s="6601"/>
      <c r="DW23" s="6601"/>
      <c r="DX23" s="6601"/>
      <c r="DY23" s="6601"/>
      <c r="DZ23" s="6601"/>
      <c r="EA23" s="6601"/>
      <c r="EB23" s="18868"/>
      <c r="EC23" s="18868"/>
      <c r="ED23" s="18868"/>
      <c r="EE23" s="18868"/>
      <c r="EF23" s="18868"/>
      <c r="EG23" s="18868"/>
      <c r="EH23" s="18868"/>
      <c r="EI23" s="18868"/>
      <c r="EJ23" s="18868"/>
      <c r="EK23" s="18868"/>
      <c r="EL23" s="18868"/>
      <c r="EM23" s="18868"/>
      <c r="EN23" s="18868"/>
      <c r="EO23" s="18868"/>
      <c r="EP23" s="18868"/>
      <c r="EQ23" s="18868"/>
      <c r="ER23" s="18868"/>
      <c r="ES23" s="18868"/>
      <c r="ET23" s="18868"/>
      <c r="EU23" s="18868"/>
      <c r="EV23" s="18868"/>
      <c r="EW23" s="18868"/>
    </row>
    <row customHeight="1" ht="24.75">
      <c r="Q24" s="737"/>
      <c r="R24" s="737"/>
      <c r="S24" s="256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560"/>
      <c r="U24" s="2560"/>
      <c r="V24" s="2560"/>
      <c r="W24" s="2560"/>
      <c r="X24" s="2560"/>
      <c r="Y24" s="2560"/>
      <c r="Z24" s="2560"/>
      <c r="AA24" s="2560"/>
      <c r="AB24" s="2560"/>
      <c r="AC24" s="2560"/>
      <c r="AD24" s="2560"/>
      <c r="AE24" s="2560"/>
      <c r="AF24" s="2560"/>
      <c r="AG24" s="2560"/>
      <c r="AH24" s="2560"/>
      <c r="AI24" s="2560"/>
      <c r="AJ24" s="2560"/>
      <c r="AK24" s="2560"/>
      <c r="AL24" s="2560"/>
      <c r="AM24" s="2560"/>
      <c r="AN24" s="2560"/>
      <c r="AO24" s="2560"/>
      <c r="AP24" s="2560"/>
      <c r="AQ24" s="1608"/>
      <c r="AR24" s="6884"/>
      <c r="AS24" s="6884"/>
      <c r="AT24" s="6884"/>
      <c r="AU24" s="6884"/>
      <c r="AV24" s="6884"/>
      <c r="AW24" s="6884"/>
      <c r="AX24" s="6884"/>
      <c r="AY24" s="6884"/>
      <c r="AZ24" s="6884"/>
      <c r="BA24" s="6884"/>
      <c r="BB24" s="6884"/>
      <c r="BC24" s="6884"/>
      <c r="BD24" s="6884"/>
      <c r="BE24" s="6884"/>
      <c r="BF24" s="6884"/>
      <c r="BG24" s="6884"/>
      <c r="BH24" s="6884"/>
      <c r="BI24" s="6884"/>
      <c r="BJ24" s="6884"/>
      <c r="BK24" s="6884"/>
      <c r="BL24" s="6884"/>
      <c r="BM24" s="6884"/>
      <c r="BN24" s="6884"/>
      <c r="BO24" s="6884"/>
      <c r="BP24" s="6884"/>
      <c r="BQ24" s="6884"/>
      <c r="BR24" s="6884"/>
      <c r="BS24" s="6884"/>
      <c r="BT24" s="6884"/>
      <c r="BU24" s="6884"/>
      <c r="BV24" s="6884"/>
      <c r="BW24" s="6884"/>
      <c r="BX24" s="6884"/>
      <c r="BY24" s="6884"/>
      <c r="BZ24" s="6884"/>
      <c r="CA24" s="6884"/>
      <c r="CB24" s="6884"/>
      <c r="CC24" s="6884"/>
      <c r="CD24" s="6884"/>
      <c r="CE24" s="6884"/>
      <c r="CF24" s="6884"/>
      <c r="CG24" s="6884"/>
      <c r="CH24" s="6884"/>
      <c r="CI24" s="6884"/>
      <c r="CJ24" s="6884"/>
      <c r="CK24" s="6884"/>
      <c r="CL24" s="6884"/>
      <c r="CM24" s="6884"/>
      <c r="CN24" s="6884"/>
      <c r="CO24" s="6884"/>
      <c r="CP24" s="6884"/>
      <c r="CQ24" s="6884"/>
      <c r="CR24" s="6884"/>
      <c r="CS24" s="6884"/>
      <c r="CT24" s="6884"/>
      <c r="CU24" s="6884"/>
      <c r="CV24" s="6884"/>
      <c r="CW24" s="6884"/>
      <c r="CX24" s="6884"/>
      <c r="CY24" s="6884"/>
      <c r="CZ24" s="6884"/>
      <c r="DA24" s="6884"/>
      <c r="DB24" s="6884"/>
      <c r="DC24" s="6884"/>
      <c r="DD24" s="6884"/>
      <c r="DE24" s="6884"/>
      <c r="DF24" s="6884"/>
      <c r="DG24" s="6884"/>
      <c r="DH24" s="6884"/>
      <c r="DI24" s="6884"/>
      <c r="DJ24" s="6884"/>
      <c r="DK24" s="6884"/>
      <c r="DL24" s="6884"/>
      <c r="DM24" s="6884"/>
      <c r="DN24" s="6884"/>
      <c r="DO24" s="6884"/>
      <c r="DP24" s="6884"/>
      <c r="DQ24" s="6884"/>
      <c r="DR24" s="6884"/>
      <c r="DS24" s="6884"/>
      <c r="DT24" s="6884"/>
      <c r="DU24" s="6884"/>
      <c r="DV24" s="6884"/>
      <c r="DW24" s="6884"/>
      <c r="DX24" s="6884"/>
      <c r="DY24" s="6884"/>
      <c r="DZ24" s="6884"/>
      <c r="EA24" s="6884"/>
      <c r="EB24" s="19236"/>
      <c r="EC24" s="19236"/>
      <c r="ED24" s="19236"/>
      <c r="EE24" s="19236"/>
      <c r="EF24" s="19236"/>
      <c r="EG24" s="19236"/>
      <c r="EH24" s="19236"/>
      <c r="EI24" s="19236"/>
      <c r="EJ24" s="19236"/>
      <c r="EK24" s="19236"/>
      <c r="EL24" s="19236"/>
      <c r="EM24" s="19236"/>
      <c r="EN24" s="19236"/>
      <c r="EO24" s="19236"/>
      <c r="EP24" s="19236"/>
      <c r="EQ24" s="19236"/>
      <c r="ER24" s="19236"/>
      <c r="ES24" s="19236"/>
      <c r="ET24" s="19236"/>
      <c r="EU24" s="19236"/>
      <c r="EV24" s="19236"/>
      <c r="EW24" s="19236"/>
    </row>
    <row customHeight="1" ht="14.25">
      <c r="Q25" s="737"/>
      <c r="R25" s="737"/>
      <c r="S25" s="2561" t="str">
        <f>IF(org=0,"Не определено",org)</f>
        <v>АО "Мурманэнергосбыт"</v>
      </c>
      <c r="T25" s="2561"/>
      <c r="U25" s="2561"/>
      <c r="V25" s="2561"/>
      <c r="W25" s="2561"/>
      <c r="X25" s="2561"/>
      <c r="Y25" s="2561"/>
      <c r="Z25" s="2561"/>
      <c r="AA25" s="2561"/>
      <c r="AB25" s="2561"/>
      <c r="AC25" s="2561"/>
      <c r="AD25" s="2561"/>
      <c r="AE25" s="2561"/>
      <c r="AF25" s="2561"/>
      <c r="AG25" s="2561"/>
      <c r="AH25" s="2561"/>
      <c r="AI25" s="2561"/>
      <c r="AJ25" s="2561"/>
      <c r="AK25" s="2561"/>
      <c r="AL25" s="2561"/>
      <c r="AM25" s="2561"/>
      <c r="AN25" s="2561"/>
      <c r="AO25" s="2561"/>
      <c r="AP25" s="2561"/>
      <c r="AQ25" s="1608"/>
      <c r="AR25" s="6885"/>
      <c r="AS25" s="6885"/>
      <c r="AT25" s="6885"/>
      <c r="AU25" s="6885"/>
      <c r="AV25" s="6885"/>
      <c r="AW25" s="6885"/>
      <c r="AX25" s="6885"/>
      <c r="AY25" s="6885"/>
      <c r="AZ25" s="6885"/>
      <c r="BA25" s="6885"/>
      <c r="BB25" s="6885"/>
      <c r="BC25" s="6885"/>
      <c r="BD25" s="6885"/>
      <c r="BE25" s="6885"/>
      <c r="BF25" s="6885"/>
      <c r="BG25" s="6885"/>
      <c r="BH25" s="6885"/>
      <c r="BI25" s="6885"/>
      <c r="BJ25" s="6885"/>
      <c r="BK25" s="6885"/>
      <c r="BL25" s="6885"/>
      <c r="BM25" s="6885"/>
      <c r="BN25" s="6885"/>
      <c r="BO25" s="6885"/>
      <c r="BP25" s="6885"/>
      <c r="BQ25" s="6885"/>
      <c r="BR25" s="6885"/>
      <c r="BS25" s="6885"/>
      <c r="BT25" s="6885"/>
      <c r="BU25" s="6885"/>
      <c r="BV25" s="6885"/>
      <c r="BW25" s="6885"/>
      <c r="BX25" s="6885"/>
      <c r="BY25" s="6885"/>
      <c r="BZ25" s="6885"/>
      <c r="CA25" s="6885"/>
      <c r="CB25" s="6885"/>
      <c r="CC25" s="6885"/>
      <c r="CD25" s="6885"/>
      <c r="CE25" s="6885"/>
      <c r="CF25" s="6885"/>
      <c r="CG25" s="6885"/>
      <c r="CH25" s="6885"/>
      <c r="CI25" s="6885"/>
      <c r="CJ25" s="6885"/>
      <c r="CK25" s="6885"/>
      <c r="CL25" s="6885"/>
      <c r="CM25" s="6885"/>
      <c r="CN25" s="6885"/>
      <c r="CO25" s="6885"/>
      <c r="CP25" s="6885"/>
      <c r="CQ25" s="6885"/>
      <c r="CR25" s="6885"/>
      <c r="CS25" s="6885"/>
      <c r="CT25" s="6885"/>
      <c r="CU25" s="6885"/>
      <c r="CV25" s="6885"/>
      <c r="CW25" s="6885"/>
      <c r="CX25" s="6885"/>
      <c r="CY25" s="6885"/>
      <c r="CZ25" s="6885"/>
      <c r="DA25" s="6885"/>
      <c r="DB25" s="6885"/>
      <c r="DC25" s="6885"/>
      <c r="DD25" s="6885"/>
      <c r="DE25" s="6885"/>
      <c r="DF25" s="6885"/>
      <c r="DG25" s="6885"/>
      <c r="DH25" s="6885"/>
      <c r="DI25" s="6885"/>
      <c r="DJ25" s="6885"/>
      <c r="DK25" s="6885"/>
      <c r="DL25" s="6885"/>
      <c r="DM25" s="6885"/>
      <c r="DN25" s="6885"/>
      <c r="DO25" s="6885"/>
      <c r="DP25" s="6885"/>
      <c r="DQ25" s="6885"/>
      <c r="DR25" s="6885"/>
      <c r="DS25" s="6885"/>
      <c r="DT25" s="6885"/>
      <c r="DU25" s="6885"/>
      <c r="DV25" s="6885"/>
      <c r="DW25" s="6885"/>
      <c r="DX25" s="6885"/>
      <c r="DY25" s="6885"/>
      <c r="DZ25" s="6885"/>
      <c r="EA25" s="6885"/>
      <c r="EB25" s="19238"/>
      <c r="EC25" s="19238"/>
      <c r="ED25" s="19238"/>
      <c r="EE25" s="19238"/>
      <c r="EF25" s="19238"/>
      <c r="EG25" s="19238"/>
      <c r="EH25" s="19238"/>
      <c r="EI25" s="19238"/>
      <c r="EJ25" s="19238"/>
      <c r="EK25" s="19238"/>
      <c r="EL25" s="19238"/>
      <c r="EM25" s="19238"/>
      <c r="EN25" s="19238"/>
      <c r="EO25" s="19238"/>
      <c r="EP25" s="19238"/>
      <c r="EQ25" s="19238"/>
      <c r="ER25" s="19238"/>
      <c r="ES25" s="19238"/>
      <c r="ET25" s="19238"/>
      <c r="EU25" s="19238"/>
      <c r="EV25" s="19238"/>
      <c r="EW25" s="19238"/>
    </row>
    <row customHeight="1" ht="14.25">
      <c r="Q26" s="737"/>
      <c r="R26" s="737"/>
      <c r="S26" s="1641"/>
      <c r="T26" s="724"/>
      <c r="U26" s="724"/>
      <c r="V26" s="683"/>
      <c r="W26" s="683"/>
      <c r="X26" s="683"/>
      <c r="Y26" s="683"/>
      <c r="Z26" s="683"/>
      <c r="AA26" s="683"/>
      <c r="AB26" s="683"/>
      <c r="AC26" s="683"/>
      <c r="AD26" s="683"/>
      <c r="AE26" s="683"/>
      <c r="AF26" s="683"/>
      <c r="AG26" s="683"/>
      <c r="AH26" s="683"/>
      <c r="AI26" s="683"/>
      <c r="AJ26" s="683"/>
      <c r="AK26" s="683"/>
      <c r="AL26" s="683"/>
      <c r="AM26" s="683"/>
      <c r="AN26" s="683"/>
      <c r="AO26" s="683"/>
      <c r="AP26" s="683"/>
      <c r="AQ26" s="683"/>
      <c r="AR26" s="6886"/>
      <c r="AS26" s="6886"/>
      <c r="AT26" s="6886"/>
      <c r="AU26" s="6886"/>
      <c r="AV26" s="6886"/>
      <c r="AW26" s="6886"/>
      <c r="AX26" s="6886"/>
      <c r="AY26" s="6886"/>
      <c r="AZ26" s="6886"/>
      <c r="BA26" s="6886"/>
      <c r="BB26" s="6886"/>
      <c r="BC26" s="6886"/>
      <c r="BD26" s="6886"/>
      <c r="BE26" s="6886"/>
      <c r="BF26" s="6886"/>
      <c r="BG26" s="6886"/>
      <c r="BH26" s="6886"/>
      <c r="BI26" s="6886"/>
      <c r="BJ26" s="6886"/>
      <c r="BK26" s="6886"/>
      <c r="BL26" s="6886"/>
      <c r="BM26" s="6886"/>
      <c r="BN26" s="6886"/>
      <c r="BO26" s="6886"/>
      <c r="BP26" s="6886"/>
      <c r="BQ26" s="6886"/>
      <c r="BR26" s="6886"/>
      <c r="BS26" s="6886"/>
      <c r="BT26" s="6886"/>
      <c r="BU26" s="6886"/>
      <c r="BV26" s="6886"/>
      <c r="BW26" s="6886"/>
      <c r="BX26" s="6886"/>
      <c r="BY26" s="6886"/>
      <c r="BZ26" s="6886"/>
      <c r="CA26" s="6886"/>
      <c r="CB26" s="6886"/>
      <c r="CC26" s="6886"/>
      <c r="CD26" s="6886"/>
      <c r="CE26" s="6886"/>
      <c r="CF26" s="6886"/>
      <c r="CG26" s="6886"/>
      <c r="CH26" s="6886"/>
      <c r="CI26" s="6886"/>
      <c r="CJ26" s="6886"/>
      <c r="CK26" s="6886"/>
      <c r="CL26" s="6886"/>
      <c r="CM26" s="6886"/>
      <c r="CN26" s="6886"/>
      <c r="CO26" s="6886"/>
      <c r="CP26" s="6886"/>
      <c r="CQ26" s="6886"/>
      <c r="CR26" s="6886"/>
      <c r="CS26" s="6886"/>
      <c r="CT26" s="6886"/>
      <c r="CU26" s="6886"/>
      <c r="CV26" s="6886"/>
      <c r="CW26" s="6886"/>
      <c r="CX26" s="6886"/>
      <c r="CY26" s="6886"/>
      <c r="CZ26" s="6886"/>
      <c r="DA26" s="6886"/>
      <c r="DB26" s="6886"/>
      <c r="DC26" s="6886"/>
      <c r="DD26" s="6886"/>
      <c r="DE26" s="6886"/>
      <c r="DF26" s="6886"/>
      <c r="DG26" s="6886"/>
      <c r="DH26" s="6886"/>
      <c r="DI26" s="6886"/>
      <c r="DJ26" s="6886"/>
      <c r="DK26" s="6886"/>
      <c r="DL26" s="6886"/>
      <c r="DM26" s="6886"/>
      <c r="DN26" s="6886"/>
      <c r="DO26" s="6886"/>
      <c r="DP26" s="6886"/>
      <c r="DQ26" s="6886"/>
      <c r="DR26" s="6886"/>
      <c r="DS26" s="6886"/>
      <c r="DT26" s="6886"/>
      <c r="DU26" s="6886"/>
      <c r="DV26" s="6886"/>
      <c r="DW26" s="6886"/>
      <c r="DX26" s="6886"/>
      <c r="DY26" s="6886"/>
      <c r="DZ26" s="6886"/>
      <c r="EA26" s="6886"/>
      <c r="EB26" s="19240"/>
      <c r="EC26" s="19240"/>
      <c r="ED26" s="19240"/>
      <c r="EE26" s="19240"/>
      <c r="EF26" s="19240"/>
      <c r="EG26" s="19240"/>
      <c r="EH26" s="19240"/>
      <c r="EI26" s="19240"/>
      <c r="EJ26" s="19240"/>
      <c r="EK26" s="19240"/>
      <c r="EL26" s="19240"/>
      <c r="EM26" s="19240"/>
      <c r="EN26" s="19240"/>
      <c r="EO26" s="19240"/>
      <c r="EP26" s="19240"/>
      <c r="EQ26" s="19240"/>
      <c r="ER26" s="19240"/>
      <c r="ES26" s="19240"/>
      <c r="ET26" s="19240"/>
      <c r="EU26" s="19240"/>
      <c r="EV26" s="19240"/>
      <c r="EW26" s="19240"/>
      <c r="EX26" s="870"/>
    </row>
    <row s="32230" customFormat="1" customHeight="1" ht="25.5">
      <c r="A27" s="1734"/>
      <c r="B27" s="1734"/>
      <c r="C27" s="1734"/>
      <c r="D27" s="1734"/>
      <c r="E27" s="1734"/>
      <c r="F27" s="1734"/>
      <c r="G27" s="1734"/>
      <c r="H27" s="1734"/>
      <c r="I27" s="1734"/>
      <c r="J27" s="1734"/>
      <c r="K27" s="1734"/>
      <c r="L27" s="1735"/>
      <c r="M27" s="1734"/>
      <c r="N27" s="1734"/>
      <c r="O27" s="1734"/>
      <c r="S27" s="2518" t="s">
        <v>38</v>
      </c>
      <c r="T27" s="2518"/>
      <c r="U27" s="1738"/>
      <c r="V27" s="2520" t="str">
        <f>IF(TITLE_NAME_OR_PR_CHANGE="",IF(TITLE_NAME_OR_PR="","",TITLE_NAME_OR_PR),TITLE_NAME_OR_PR_CHANGE)</f>
        <v>Комитет по тарифному регулированию Мурманской области</v>
      </c>
      <c r="W27" s="2520"/>
      <c r="X27" s="2520"/>
      <c r="Y27" s="2520"/>
      <c r="Z27" s="2520"/>
      <c r="AA27" s="2520"/>
      <c r="AB27" s="2520"/>
      <c r="AC27" s="2520"/>
      <c r="AD27" s="2520"/>
      <c r="AE27" s="2520"/>
      <c r="AF27" s="687"/>
      <c r="AG27" s="2520" t="str">
        <f>IF(TITLE_NAME_OR_PR_CHANGE="",IF(TITLE_NAME_OR_PR="","",TITLE_NAME_OR_PR),TITLE_NAME_OR_PR_CHANGE)</f>
        <v>Комитет по тарифному регулированию Мурманской области</v>
      </c>
      <c r="AH27" s="2520"/>
      <c r="AI27" s="2520"/>
      <c r="AJ27" s="2520"/>
      <c r="AK27" s="2520"/>
      <c r="AL27" s="2520"/>
      <c r="AM27" s="2520"/>
      <c r="AN27" s="2520"/>
      <c r="AO27" s="2520"/>
      <c r="AP27" s="2520"/>
      <c r="AQ27" s="687"/>
      <c r="AR27" s="6887" t="str">
        <f>IF(TITLE_NAME_OR_PR_CHANGE="",IF(TITLE_NAME_OR_PR="","",TITLE_NAME_OR_PR),TITLE_NAME_OR_PR_CHANGE)</f>
        <v>Комитет по тарифному регулированию Мурманской области</v>
      </c>
      <c r="AS27" s="6887"/>
      <c r="AT27" s="6887"/>
      <c r="AU27" s="6887"/>
      <c r="AV27" s="6887"/>
      <c r="AW27" s="6887"/>
      <c r="AX27" s="6887"/>
      <c r="AY27" s="6887"/>
      <c r="AZ27" s="6887"/>
      <c r="BA27" s="6887"/>
      <c r="BB27" s="6601"/>
      <c r="BC27" s="6887" t="str">
        <f>IF(TITLE_NAME_OR_PR_CHANGE="",IF(TITLE_NAME_OR_PR="","",TITLE_NAME_OR_PR),TITLE_NAME_OR_PR_CHANGE)</f>
        <v>Комитет по тарифному регулированию Мурманской области</v>
      </c>
      <c r="BD27" s="6887"/>
      <c r="BE27" s="6887"/>
      <c r="BF27" s="6887"/>
      <c r="BG27" s="6887"/>
      <c r="BH27" s="6887"/>
      <c r="BI27" s="6887"/>
      <c r="BJ27" s="6887"/>
      <c r="BK27" s="6887"/>
      <c r="BL27" s="6887"/>
      <c r="BM27" s="6601"/>
      <c r="BN27" s="6887" t="str">
        <f>IF(TITLE_NAME_OR_PR_CHANGE="",IF(TITLE_NAME_OR_PR="","",TITLE_NAME_OR_PR),TITLE_NAME_OR_PR_CHANGE)</f>
        <v>Комитет по тарифному регулированию Мурманской области</v>
      </c>
      <c r="BO27" s="6887"/>
      <c r="BP27" s="6887"/>
      <c r="BQ27" s="6887"/>
      <c r="BR27" s="6887"/>
      <c r="BS27" s="6887"/>
      <c r="BT27" s="6887"/>
      <c r="BU27" s="6887"/>
      <c r="BV27" s="6887"/>
      <c r="BW27" s="6887"/>
      <c r="BX27" s="6601"/>
      <c r="BY27" s="6887" t="str">
        <f>IF(TITLE_NAME_OR_PR_CHANGE="",IF(TITLE_NAME_OR_PR="","",TITLE_NAME_OR_PR),TITLE_NAME_OR_PR_CHANGE)</f>
        <v>Комитет по тарифному регулированию Мурманской области</v>
      </c>
      <c r="BZ27" s="6887"/>
      <c r="CA27" s="6887"/>
      <c r="CB27" s="6887"/>
      <c r="CC27" s="6887"/>
      <c r="CD27" s="6887"/>
      <c r="CE27" s="6887"/>
      <c r="CF27" s="6887"/>
      <c r="CG27" s="6887"/>
      <c r="CH27" s="6887"/>
      <c r="CI27" s="6601"/>
      <c r="CJ27" s="6887" t="str">
        <f>IF(TITLE_NAME_OR_PR_CHANGE="",IF(TITLE_NAME_OR_PR="","",TITLE_NAME_OR_PR),TITLE_NAME_OR_PR_CHANGE)</f>
        <v>Комитет по тарифному регулированию Мурманской области</v>
      </c>
      <c r="CK27" s="6887"/>
      <c r="CL27" s="6887"/>
      <c r="CM27" s="6887"/>
      <c r="CN27" s="6887"/>
      <c r="CO27" s="6887"/>
      <c r="CP27" s="6887"/>
      <c r="CQ27" s="6887"/>
      <c r="CR27" s="6887"/>
      <c r="CS27" s="6887"/>
      <c r="CT27" s="6601"/>
      <c r="CU27" s="6887" t="str">
        <f>IF(TITLE_NAME_OR_PR_CHANGE="",IF(TITLE_NAME_OR_PR="","",TITLE_NAME_OR_PR),TITLE_NAME_OR_PR_CHANGE)</f>
        <v>Комитет по тарифному регулированию Мурманской области</v>
      </c>
      <c r="CV27" s="6887"/>
      <c r="CW27" s="6887"/>
      <c r="CX27" s="6887"/>
      <c r="CY27" s="6887"/>
      <c r="CZ27" s="6887"/>
      <c r="DA27" s="6887"/>
      <c r="DB27" s="6887"/>
      <c r="DC27" s="6887"/>
      <c r="DD27" s="6887"/>
      <c r="DE27" s="6601"/>
      <c r="DF27" s="6887" t="str">
        <f>IF(TITLE_NAME_OR_PR_CHANGE="",IF(TITLE_NAME_OR_PR="","",TITLE_NAME_OR_PR),TITLE_NAME_OR_PR_CHANGE)</f>
        <v>Комитет по тарифному регулированию Мурманской области</v>
      </c>
      <c r="DG27" s="6887"/>
      <c r="DH27" s="6887"/>
      <c r="DI27" s="6887"/>
      <c r="DJ27" s="6887"/>
      <c r="DK27" s="6887"/>
      <c r="DL27" s="6887"/>
      <c r="DM27" s="6887"/>
      <c r="DN27" s="6887"/>
      <c r="DO27" s="6887"/>
      <c r="DP27" s="6601"/>
      <c r="DQ27" s="6887" t="str">
        <f>IF(TITLE_NAME_OR_PR_CHANGE="",IF(TITLE_NAME_OR_PR="","",TITLE_NAME_OR_PR),TITLE_NAME_OR_PR_CHANGE)</f>
        <v>Комитет по тарифному регулированию Мурманской области</v>
      </c>
      <c r="DR27" s="6887"/>
      <c r="DS27" s="6887"/>
      <c r="DT27" s="6887"/>
      <c r="DU27" s="6887"/>
      <c r="DV27" s="6887"/>
      <c r="DW27" s="6887"/>
      <c r="DX27" s="6887"/>
      <c r="DY27" s="6887"/>
      <c r="DZ27" s="6887"/>
      <c r="EA27" s="6601"/>
      <c r="EB27" s="19242" t="str">
        <f>IF(TITLE_NAME_OR_PR_CHANGE="",IF(TITLE_NAME_OR_PR="","",TITLE_NAME_OR_PR),TITLE_NAME_OR_PR_CHANGE)</f>
        <v>Комитет по тарифному регулированию Мурманской области</v>
      </c>
      <c r="EC27" s="19242"/>
      <c r="ED27" s="19242"/>
      <c r="EE27" s="19242"/>
      <c r="EF27" s="19242"/>
      <c r="EG27" s="19242"/>
      <c r="EH27" s="19242"/>
      <c r="EI27" s="19242"/>
      <c r="EJ27" s="19242"/>
      <c r="EK27" s="19242"/>
      <c r="EL27" s="18868"/>
      <c r="EM27" s="19242" t="str">
        <f>IF(TITLE_NAME_OR_PR_CHANGE="",IF(TITLE_NAME_OR_PR="","",TITLE_NAME_OR_PR),TITLE_NAME_OR_PR_CHANGE)</f>
        <v>Комитет по тарифному регулированию Мурманской области</v>
      </c>
      <c r="EN27" s="19242"/>
      <c r="EO27" s="19242"/>
      <c r="EP27" s="19242"/>
      <c r="EQ27" s="19242"/>
      <c r="ER27" s="19242"/>
      <c r="ES27" s="19242"/>
      <c r="ET27" s="19242"/>
      <c r="EU27" s="19242"/>
      <c r="EV27" s="19242"/>
      <c r="EW27" s="18868"/>
      <c r="EX27" s="687"/>
      <c r="EY27" s="641"/>
      <c r="EZ27" s="729"/>
      <c r="FA27" s="729"/>
      <c r="FB27" s="729"/>
      <c r="FC27" s="729"/>
      <c r="FD27" s="729"/>
    </row>
    <row s="32230" customFormat="1" customHeight="1" ht="18.75">
      <c r="A28" s="1734"/>
      <c r="B28" s="1734"/>
      <c r="C28" s="1734"/>
      <c r="D28" s="1734"/>
      <c r="E28" s="1734"/>
      <c r="F28" s="1734"/>
      <c r="G28" s="1734"/>
      <c r="H28" s="1734"/>
      <c r="I28" s="1734"/>
      <c r="J28" s="1734"/>
      <c r="K28" s="1734"/>
      <c r="L28" s="1735"/>
      <c r="M28" s="1734"/>
      <c r="N28" s="1734"/>
      <c r="O28" s="1734"/>
      <c r="S28" s="2518" t="s">
        <v>462</v>
      </c>
      <c r="T28" s="2518"/>
      <c r="U28" s="1738"/>
      <c r="V28" s="2519" t="str">
        <f>IF(TITLE_DATE_PR_CHANGE="",IF(TITLE_DATE_PR="","",TITLE_DATE_PR),TITLE_DATE_PR_CHANGE)</f>
        <v>45280</v>
      </c>
      <c r="W28" s="2519"/>
      <c r="X28" s="2519"/>
      <c r="Y28" s="2519"/>
      <c r="Z28" s="2519"/>
      <c r="AA28" s="2519"/>
      <c r="AB28" s="2519"/>
      <c r="AC28" s="2519"/>
      <c r="AD28" s="2519"/>
      <c r="AE28" s="2519"/>
      <c r="AF28" s="687"/>
      <c r="AG28" s="2519" t="str">
        <f>IF(TITLE_DATE_PR_CHANGE="",IF(TITLE_DATE_PR="","",TITLE_DATE_PR),TITLE_DATE_PR_CHANGE)</f>
        <v>45280</v>
      </c>
      <c r="AH28" s="2519"/>
      <c r="AI28" s="2519"/>
      <c r="AJ28" s="2519"/>
      <c r="AK28" s="2519"/>
      <c r="AL28" s="2519"/>
      <c r="AM28" s="2519"/>
      <c r="AN28" s="2519"/>
      <c r="AO28" s="2519"/>
      <c r="AP28" s="2519"/>
      <c r="AQ28" s="687"/>
      <c r="AR28" s="6888" t="str">
        <f>IF(TITLE_DATE_PR_CHANGE="",IF(TITLE_DATE_PR="","",TITLE_DATE_PR),TITLE_DATE_PR_CHANGE)</f>
        <v>45280</v>
      </c>
      <c r="AS28" s="6888"/>
      <c r="AT28" s="6888"/>
      <c r="AU28" s="6888"/>
      <c r="AV28" s="6888"/>
      <c r="AW28" s="6888"/>
      <c r="AX28" s="6888"/>
      <c r="AY28" s="6888"/>
      <c r="AZ28" s="6888"/>
      <c r="BA28" s="6888"/>
      <c r="BB28" s="6601"/>
      <c r="BC28" s="6888" t="str">
        <f>IF(TITLE_DATE_PR_CHANGE="",IF(TITLE_DATE_PR="","",TITLE_DATE_PR),TITLE_DATE_PR_CHANGE)</f>
        <v>45280</v>
      </c>
      <c r="BD28" s="6888"/>
      <c r="BE28" s="6888"/>
      <c r="BF28" s="6888"/>
      <c r="BG28" s="6888"/>
      <c r="BH28" s="6888"/>
      <c r="BI28" s="6888"/>
      <c r="BJ28" s="6888"/>
      <c r="BK28" s="6888"/>
      <c r="BL28" s="6888"/>
      <c r="BM28" s="6601"/>
      <c r="BN28" s="6888" t="str">
        <f>IF(TITLE_DATE_PR_CHANGE="",IF(TITLE_DATE_PR="","",TITLE_DATE_PR),TITLE_DATE_PR_CHANGE)</f>
        <v>45280</v>
      </c>
      <c r="BO28" s="6888"/>
      <c r="BP28" s="6888"/>
      <c r="BQ28" s="6888"/>
      <c r="BR28" s="6888"/>
      <c r="BS28" s="6888"/>
      <c r="BT28" s="6888"/>
      <c r="BU28" s="6888"/>
      <c r="BV28" s="6888"/>
      <c r="BW28" s="6888"/>
      <c r="BX28" s="6601"/>
      <c r="BY28" s="6888" t="str">
        <f>IF(TITLE_DATE_PR_CHANGE="",IF(TITLE_DATE_PR="","",TITLE_DATE_PR),TITLE_DATE_PR_CHANGE)</f>
        <v>45280</v>
      </c>
      <c r="BZ28" s="6888"/>
      <c r="CA28" s="6888"/>
      <c r="CB28" s="6888"/>
      <c r="CC28" s="6888"/>
      <c r="CD28" s="6888"/>
      <c r="CE28" s="6888"/>
      <c r="CF28" s="6888"/>
      <c r="CG28" s="6888"/>
      <c r="CH28" s="6888"/>
      <c r="CI28" s="6601"/>
      <c r="CJ28" s="6888" t="str">
        <f>IF(TITLE_DATE_PR_CHANGE="",IF(TITLE_DATE_PR="","",TITLE_DATE_PR),TITLE_DATE_PR_CHANGE)</f>
        <v>45280</v>
      </c>
      <c r="CK28" s="6888"/>
      <c r="CL28" s="6888"/>
      <c r="CM28" s="6888"/>
      <c r="CN28" s="6888"/>
      <c r="CO28" s="6888"/>
      <c r="CP28" s="6888"/>
      <c r="CQ28" s="6888"/>
      <c r="CR28" s="6888"/>
      <c r="CS28" s="6888"/>
      <c r="CT28" s="6601"/>
      <c r="CU28" s="6888" t="str">
        <f>IF(TITLE_DATE_PR_CHANGE="",IF(TITLE_DATE_PR="","",TITLE_DATE_PR),TITLE_DATE_PR_CHANGE)</f>
        <v>45280</v>
      </c>
      <c r="CV28" s="6888"/>
      <c r="CW28" s="6888"/>
      <c r="CX28" s="6888"/>
      <c r="CY28" s="6888"/>
      <c r="CZ28" s="6888"/>
      <c r="DA28" s="6888"/>
      <c r="DB28" s="6888"/>
      <c r="DC28" s="6888"/>
      <c r="DD28" s="6888"/>
      <c r="DE28" s="6601"/>
      <c r="DF28" s="6888" t="str">
        <f>IF(TITLE_DATE_PR_CHANGE="",IF(TITLE_DATE_PR="","",TITLE_DATE_PR),TITLE_DATE_PR_CHANGE)</f>
        <v>45280</v>
      </c>
      <c r="DG28" s="6888"/>
      <c r="DH28" s="6888"/>
      <c r="DI28" s="6888"/>
      <c r="DJ28" s="6888"/>
      <c r="DK28" s="6888"/>
      <c r="DL28" s="6888"/>
      <c r="DM28" s="6888"/>
      <c r="DN28" s="6888"/>
      <c r="DO28" s="6888"/>
      <c r="DP28" s="6601"/>
      <c r="DQ28" s="6888" t="str">
        <f>IF(TITLE_DATE_PR_CHANGE="",IF(TITLE_DATE_PR="","",TITLE_DATE_PR),TITLE_DATE_PR_CHANGE)</f>
        <v>45280</v>
      </c>
      <c r="DR28" s="6888"/>
      <c r="DS28" s="6888"/>
      <c r="DT28" s="6888"/>
      <c r="DU28" s="6888"/>
      <c r="DV28" s="6888"/>
      <c r="DW28" s="6888"/>
      <c r="DX28" s="6888"/>
      <c r="DY28" s="6888"/>
      <c r="DZ28" s="6888"/>
      <c r="EA28" s="6601"/>
      <c r="EB28" s="19244" t="str">
        <f>IF(TITLE_DATE_PR_CHANGE="",IF(TITLE_DATE_PR="","",TITLE_DATE_PR),TITLE_DATE_PR_CHANGE)</f>
        <v>45280</v>
      </c>
      <c r="EC28" s="19244"/>
      <c r="ED28" s="19244"/>
      <c r="EE28" s="19244"/>
      <c r="EF28" s="19244"/>
      <c r="EG28" s="19244"/>
      <c r="EH28" s="19244"/>
      <c r="EI28" s="19244"/>
      <c r="EJ28" s="19244"/>
      <c r="EK28" s="19244"/>
      <c r="EL28" s="18868"/>
      <c r="EM28" s="19244" t="str">
        <f>IF(TITLE_DATE_PR_CHANGE="",IF(TITLE_DATE_PR="","",TITLE_DATE_PR),TITLE_DATE_PR_CHANGE)</f>
        <v>45280</v>
      </c>
      <c r="EN28" s="19244"/>
      <c r="EO28" s="19244"/>
      <c r="EP28" s="19244"/>
      <c r="EQ28" s="19244"/>
      <c r="ER28" s="19244"/>
      <c r="ES28" s="19244"/>
      <c r="ET28" s="19244"/>
      <c r="EU28" s="19244"/>
      <c r="EV28" s="19244"/>
      <c r="EW28" s="18868"/>
      <c r="EX28" s="687"/>
      <c r="EY28" s="641"/>
      <c r="EZ28" s="729"/>
      <c r="FA28" s="729"/>
      <c r="FB28" s="729"/>
      <c r="FC28" s="729"/>
      <c r="FD28" s="729"/>
    </row>
    <row s="32230" customFormat="1" customHeight="1" ht="18.75">
      <c r="A29" s="1734"/>
      <c r="B29" s="1734"/>
      <c r="C29" s="1734"/>
      <c r="D29" s="1734"/>
      <c r="E29" s="1734"/>
      <c r="F29" s="1734"/>
      <c r="G29" s="1734"/>
      <c r="H29" s="1734"/>
      <c r="I29" s="1734"/>
      <c r="J29" s="1734"/>
      <c r="K29" s="1734"/>
      <c r="L29" s="1735"/>
      <c r="M29" s="1734"/>
      <c r="N29" s="1734"/>
      <c r="O29" s="1734"/>
      <c r="S29" s="2518" t="s">
        <v>463</v>
      </c>
      <c r="T29" s="2518"/>
      <c r="U29" s="1738"/>
      <c r="V29" s="2520" t="str">
        <f>IF(TITLE_NUMBER_PR_CHANGE="",IF(TITLE_NUMBER_PR="","",TITLE_NUMBER_PR),TITLE_NUMBER_PR_CHANGE)</f>
        <v>51/16</v>
      </c>
      <c r="W29" s="2520"/>
      <c r="X29" s="2520"/>
      <c r="Y29" s="2520"/>
      <c r="Z29" s="2520"/>
      <c r="AA29" s="2520"/>
      <c r="AB29" s="2520"/>
      <c r="AC29" s="2520"/>
      <c r="AD29" s="2520"/>
      <c r="AE29" s="2520"/>
      <c r="AF29" s="687"/>
      <c r="AG29" s="2520" t="str">
        <f>IF(TITLE_NUMBER_PR_CHANGE="",IF(TITLE_NUMBER_PR="","",TITLE_NUMBER_PR),TITLE_NUMBER_PR_CHANGE)</f>
        <v>51/16</v>
      </c>
      <c r="AH29" s="2520"/>
      <c r="AI29" s="2520"/>
      <c r="AJ29" s="2520"/>
      <c r="AK29" s="2520"/>
      <c r="AL29" s="2520"/>
      <c r="AM29" s="2520"/>
      <c r="AN29" s="2520"/>
      <c r="AO29" s="2520"/>
      <c r="AP29" s="2520"/>
      <c r="AQ29" s="687"/>
      <c r="AR29" s="6887" t="str">
        <f>IF(TITLE_NUMBER_PR_CHANGE="",IF(TITLE_NUMBER_PR="","",TITLE_NUMBER_PR),TITLE_NUMBER_PR_CHANGE)</f>
        <v>51/16</v>
      </c>
      <c r="AS29" s="6887"/>
      <c r="AT29" s="6887"/>
      <c r="AU29" s="6887"/>
      <c r="AV29" s="6887"/>
      <c r="AW29" s="6887"/>
      <c r="AX29" s="6887"/>
      <c r="AY29" s="6887"/>
      <c r="AZ29" s="6887"/>
      <c r="BA29" s="6887"/>
      <c r="BB29" s="6601"/>
      <c r="BC29" s="6887" t="str">
        <f>IF(TITLE_NUMBER_PR_CHANGE="",IF(TITLE_NUMBER_PR="","",TITLE_NUMBER_PR),TITLE_NUMBER_PR_CHANGE)</f>
        <v>51/16</v>
      </c>
      <c r="BD29" s="6887"/>
      <c r="BE29" s="6887"/>
      <c r="BF29" s="6887"/>
      <c r="BG29" s="6887"/>
      <c r="BH29" s="6887"/>
      <c r="BI29" s="6887"/>
      <c r="BJ29" s="6887"/>
      <c r="BK29" s="6887"/>
      <c r="BL29" s="6887"/>
      <c r="BM29" s="6601"/>
      <c r="BN29" s="6887" t="str">
        <f>IF(TITLE_NUMBER_PR_CHANGE="",IF(TITLE_NUMBER_PR="","",TITLE_NUMBER_PR),TITLE_NUMBER_PR_CHANGE)</f>
        <v>51/16</v>
      </c>
      <c r="BO29" s="6887"/>
      <c r="BP29" s="6887"/>
      <c r="BQ29" s="6887"/>
      <c r="BR29" s="6887"/>
      <c r="BS29" s="6887"/>
      <c r="BT29" s="6887"/>
      <c r="BU29" s="6887"/>
      <c r="BV29" s="6887"/>
      <c r="BW29" s="6887"/>
      <c r="BX29" s="6601"/>
      <c r="BY29" s="6887" t="str">
        <f>IF(TITLE_NUMBER_PR_CHANGE="",IF(TITLE_NUMBER_PR="","",TITLE_NUMBER_PR),TITLE_NUMBER_PR_CHANGE)</f>
        <v>51/16</v>
      </c>
      <c r="BZ29" s="6887"/>
      <c r="CA29" s="6887"/>
      <c r="CB29" s="6887"/>
      <c r="CC29" s="6887"/>
      <c r="CD29" s="6887"/>
      <c r="CE29" s="6887"/>
      <c r="CF29" s="6887"/>
      <c r="CG29" s="6887"/>
      <c r="CH29" s="6887"/>
      <c r="CI29" s="6601"/>
      <c r="CJ29" s="6887" t="str">
        <f>IF(TITLE_NUMBER_PR_CHANGE="",IF(TITLE_NUMBER_PR="","",TITLE_NUMBER_PR),TITLE_NUMBER_PR_CHANGE)</f>
        <v>51/16</v>
      </c>
      <c r="CK29" s="6887"/>
      <c r="CL29" s="6887"/>
      <c r="CM29" s="6887"/>
      <c r="CN29" s="6887"/>
      <c r="CO29" s="6887"/>
      <c r="CP29" s="6887"/>
      <c r="CQ29" s="6887"/>
      <c r="CR29" s="6887"/>
      <c r="CS29" s="6887"/>
      <c r="CT29" s="6601"/>
      <c r="CU29" s="6887" t="str">
        <f>IF(TITLE_NUMBER_PR_CHANGE="",IF(TITLE_NUMBER_PR="","",TITLE_NUMBER_PR),TITLE_NUMBER_PR_CHANGE)</f>
        <v>51/16</v>
      </c>
      <c r="CV29" s="6887"/>
      <c r="CW29" s="6887"/>
      <c r="CX29" s="6887"/>
      <c r="CY29" s="6887"/>
      <c r="CZ29" s="6887"/>
      <c r="DA29" s="6887"/>
      <c r="DB29" s="6887"/>
      <c r="DC29" s="6887"/>
      <c r="DD29" s="6887"/>
      <c r="DE29" s="6601"/>
      <c r="DF29" s="6887" t="str">
        <f>IF(TITLE_NUMBER_PR_CHANGE="",IF(TITLE_NUMBER_PR="","",TITLE_NUMBER_PR),TITLE_NUMBER_PR_CHANGE)</f>
        <v>51/16</v>
      </c>
      <c r="DG29" s="6887"/>
      <c r="DH29" s="6887"/>
      <c r="DI29" s="6887"/>
      <c r="DJ29" s="6887"/>
      <c r="DK29" s="6887"/>
      <c r="DL29" s="6887"/>
      <c r="DM29" s="6887"/>
      <c r="DN29" s="6887"/>
      <c r="DO29" s="6887"/>
      <c r="DP29" s="6601"/>
      <c r="DQ29" s="6887" t="str">
        <f>IF(TITLE_NUMBER_PR_CHANGE="",IF(TITLE_NUMBER_PR="","",TITLE_NUMBER_PR),TITLE_NUMBER_PR_CHANGE)</f>
        <v>51/16</v>
      </c>
      <c r="DR29" s="6887"/>
      <c r="DS29" s="6887"/>
      <c r="DT29" s="6887"/>
      <c r="DU29" s="6887"/>
      <c r="DV29" s="6887"/>
      <c r="DW29" s="6887"/>
      <c r="DX29" s="6887"/>
      <c r="DY29" s="6887"/>
      <c r="DZ29" s="6887"/>
      <c r="EA29" s="6601"/>
      <c r="EB29" s="19242" t="str">
        <f>IF(TITLE_NUMBER_PR_CHANGE="",IF(TITLE_NUMBER_PR="","",TITLE_NUMBER_PR),TITLE_NUMBER_PR_CHANGE)</f>
        <v>51/16</v>
      </c>
      <c r="EC29" s="19242"/>
      <c r="ED29" s="19242"/>
      <c r="EE29" s="19242"/>
      <c r="EF29" s="19242"/>
      <c r="EG29" s="19242"/>
      <c r="EH29" s="19242"/>
      <c r="EI29" s="19242"/>
      <c r="EJ29" s="19242"/>
      <c r="EK29" s="19242"/>
      <c r="EL29" s="18868"/>
      <c r="EM29" s="19242" t="str">
        <f>IF(TITLE_NUMBER_PR_CHANGE="",IF(TITLE_NUMBER_PR="","",TITLE_NUMBER_PR),TITLE_NUMBER_PR_CHANGE)</f>
        <v>51/16</v>
      </c>
      <c r="EN29" s="19242"/>
      <c r="EO29" s="19242"/>
      <c r="EP29" s="19242"/>
      <c r="EQ29" s="19242"/>
      <c r="ER29" s="19242"/>
      <c r="ES29" s="19242"/>
      <c r="ET29" s="19242"/>
      <c r="EU29" s="19242"/>
      <c r="EV29" s="19242"/>
      <c r="EW29" s="18868"/>
      <c r="EX29" s="687"/>
      <c r="EY29" s="641"/>
      <c r="EZ29" s="729"/>
      <c r="FA29" s="729"/>
      <c r="FB29" s="729"/>
      <c r="FC29" s="729"/>
      <c r="FD29" s="729"/>
    </row>
    <row s="32230" customFormat="1" customHeight="1" ht="18.75">
      <c r="A30" s="1734"/>
      <c r="B30" s="1734"/>
      <c r="C30" s="1734"/>
      <c r="D30" s="1734"/>
      <c r="E30" s="1734"/>
      <c r="F30" s="1734"/>
      <c r="G30" s="1734"/>
      <c r="H30" s="1734"/>
      <c r="I30" s="1734"/>
      <c r="J30" s="1734"/>
      <c r="K30" s="1734"/>
      <c r="L30" s="1735"/>
      <c r="M30" s="1734"/>
      <c r="N30" s="1734"/>
      <c r="O30" s="1734"/>
      <c r="S30" s="2518" t="s">
        <v>40</v>
      </c>
      <c r="T30" s="2518"/>
      <c r="U30" s="1738"/>
      <c r="V30" s="2520" t="str">
        <f>IF(TITLE_IST_PUB_CHANGE="",IF(TITLE_IST_PUB="","",TITLE_IST_PUB),TITLE_IST_PUB_CHANGE)</f>
        <v>https://npa.gov-murman.ru/bitrix/components/b1team/govmurman.element.file/download.php?ID=508455&amp;FID=750728</v>
      </c>
      <c r="W30" s="2520"/>
      <c r="X30" s="2520"/>
      <c r="Y30" s="2520"/>
      <c r="Z30" s="2520"/>
      <c r="AA30" s="2520"/>
      <c r="AB30" s="2520"/>
      <c r="AC30" s="2520"/>
      <c r="AD30" s="2520"/>
      <c r="AE30" s="2520"/>
      <c r="AF30" s="687"/>
      <c r="AG30" s="2520" t="str">
        <f>IF(TITLE_IST_PUB_CHANGE="",IF(TITLE_IST_PUB="","",TITLE_IST_PUB),TITLE_IST_PUB_CHANGE)</f>
        <v>https://npa.gov-murman.ru/bitrix/components/b1team/govmurman.element.file/download.php?ID=508455&amp;FID=750728</v>
      </c>
      <c r="AH30" s="2520"/>
      <c r="AI30" s="2520"/>
      <c r="AJ30" s="2520"/>
      <c r="AK30" s="2520"/>
      <c r="AL30" s="2520"/>
      <c r="AM30" s="2520"/>
      <c r="AN30" s="2520"/>
      <c r="AO30" s="2520"/>
      <c r="AP30" s="2520"/>
      <c r="AQ30" s="687"/>
      <c r="AR30" s="6887" t="str">
        <f>IF(TITLE_IST_PUB_CHANGE="",IF(TITLE_IST_PUB="","",TITLE_IST_PUB),TITLE_IST_PUB_CHANGE)</f>
        <v>https://npa.gov-murman.ru/bitrix/components/b1team/govmurman.element.file/download.php?ID=508455&amp;FID=750728</v>
      </c>
      <c r="AS30" s="6887"/>
      <c r="AT30" s="6887"/>
      <c r="AU30" s="6887"/>
      <c r="AV30" s="6887"/>
      <c r="AW30" s="6887"/>
      <c r="AX30" s="6887"/>
      <c r="AY30" s="6887"/>
      <c r="AZ30" s="6887"/>
      <c r="BA30" s="6887"/>
      <c r="BB30" s="6601"/>
      <c r="BC30" s="6887" t="str">
        <f>IF(TITLE_IST_PUB_CHANGE="",IF(TITLE_IST_PUB="","",TITLE_IST_PUB),TITLE_IST_PUB_CHANGE)</f>
        <v>https://npa.gov-murman.ru/bitrix/components/b1team/govmurman.element.file/download.php?ID=508455&amp;FID=750728</v>
      </c>
      <c r="BD30" s="6887"/>
      <c r="BE30" s="6887"/>
      <c r="BF30" s="6887"/>
      <c r="BG30" s="6887"/>
      <c r="BH30" s="6887"/>
      <c r="BI30" s="6887"/>
      <c r="BJ30" s="6887"/>
      <c r="BK30" s="6887"/>
      <c r="BL30" s="6887"/>
      <c r="BM30" s="6601"/>
      <c r="BN30" s="6887" t="str">
        <f>IF(TITLE_IST_PUB_CHANGE="",IF(TITLE_IST_PUB="","",TITLE_IST_PUB),TITLE_IST_PUB_CHANGE)</f>
        <v>https://npa.gov-murman.ru/bitrix/components/b1team/govmurman.element.file/download.php?ID=508455&amp;FID=750728</v>
      </c>
      <c r="BO30" s="6887"/>
      <c r="BP30" s="6887"/>
      <c r="BQ30" s="6887"/>
      <c r="BR30" s="6887"/>
      <c r="BS30" s="6887"/>
      <c r="BT30" s="6887"/>
      <c r="BU30" s="6887"/>
      <c r="BV30" s="6887"/>
      <c r="BW30" s="6887"/>
      <c r="BX30" s="6601"/>
      <c r="BY30" s="6887" t="str">
        <f>IF(TITLE_IST_PUB_CHANGE="",IF(TITLE_IST_PUB="","",TITLE_IST_PUB),TITLE_IST_PUB_CHANGE)</f>
        <v>https://npa.gov-murman.ru/bitrix/components/b1team/govmurman.element.file/download.php?ID=508455&amp;FID=750728</v>
      </c>
      <c r="BZ30" s="6887"/>
      <c r="CA30" s="6887"/>
      <c r="CB30" s="6887"/>
      <c r="CC30" s="6887"/>
      <c r="CD30" s="6887"/>
      <c r="CE30" s="6887"/>
      <c r="CF30" s="6887"/>
      <c r="CG30" s="6887"/>
      <c r="CH30" s="6887"/>
      <c r="CI30" s="6601"/>
      <c r="CJ30" s="6887" t="str">
        <f>IF(TITLE_IST_PUB_CHANGE="",IF(TITLE_IST_PUB="","",TITLE_IST_PUB),TITLE_IST_PUB_CHANGE)</f>
        <v>https://npa.gov-murman.ru/bitrix/components/b1team/govmurman.element.file/download.php?ID=508455&amp;FID=750728</v>
      </c>
      <c r="CK30" s="6887"/>
      <c r="CL30" s="6887"/>
      <c r="CM30" s="6887"/>
      <c r="CN30" s="6887"/>
      <c r="CO30" s="6887"/>
      <c r="CP30" s="6887"/>
      <c r="CQ30" s="6887"/>
      <c r="CR30" s="6887"/>
      <c r="CS30" s="6887"/>
      <c r="CT30" s="6601"/>
      <c r="CU30" s="6887" t="str">
        <f>IF(TITLE_IST_PUB_CHANGE="",IF(TITLE_IST_PUB="","",TITLE_IST_PUB),TITLE_IST_PUB_CHANGE)</f>
        <v>https://npa.gov-murman.ru/bitrix/components/b1team/govmurman.element.file/download.php?ID=508455&amp;FID=750728</v>
      </c>
      <c r="CV30" s="6887"/>
      <c r="CW30" s="6887"/>
      <c r="CX30" s="6887"/>
      <c r="CY30" s="6887"/>
      <c r="CZ30" s="6887"/>
      <c r="DA30" s="6887"/>
      <c r="DB30" s="6887"/>
      <c r="DC30" s="6887"/>
      <c r="DD30" s="6887"/>
      <c r="DE30" s="6601"/>
      <c r="DF30" s="6887" t="str">
        <f>IF(TITLE_IST_PUB_CHANGE="",IF(TITLE_IST_PUB="","",TITLE_IST_PUB),TITLE_IST_PUB_CHANGE)</f>
        <v>https://npa.gov-murman.ru/bitrix/components/b1team/govmurman.element.file/download.php?ID=508455&amp;FID=750728</v>
      </c>
      <c r="DG30" s="6887"/>
      <c r="DH30" s="6887"/>
      <c r="DI30" s="6887"/>
      <c r="DJ30" s="6887"/>
      <c r="DK30" s="6887"/>
      <c r="DL30" s="6887"/>
      <c r="DM30" s="6887"/>
      <c r="DN30" s="6887"/>
      <c r="DO30" s="6887"/>
      <c r="DP30" s="6601"/>
      <c r="DQ30" s="6887" t="str">
        <f>IF(TITLE_IST_PUB_CHANGE="",IF(TITLE_IST_PUB="","",TITLE_IST_PUB),TITLE_IST_PUB_CHANGE)</f>
        <v>https://npa.gov-murman.ru/bitrix/components/b1team/govmurman.element.file/download.php?ID=508455&amp;FID=750728</v>
      </c>
      <c r="DR30" s="6887"/>
      <c r="DS30" s="6887"/>
      <c r="DT30" s="6887"/>
      <c r="DU30" s="6887"/>
      <c r="DV30" s="6887"/>
      <c r="DW30" s="6887"/>
      <c r="DX30" s="6887"/>
      <c r="DY30" s="6887"/>
      <c r="DZ30" s="6887"/>
      <c r="EA30" s="6601"/>
      <c r="EB30" s="19242" t="str">
        <f>IF(TITLE_IST_PUB_CHANGE="",IF(TITLE_IST_PUB="","",TITLE_IST_PUB),TITLE_IST_PUB_CHANGE)</f>
        <v>https://npa.gov-murman.ru/bitrix/components/b1team/govmurman.element.file/download.php?ID=508455&amp;FID=750728</v>
      </c>
      <c r="EC30" s="19242"/>
      <c r="ED30" s="19242"/>
      <c r="EE30" s="19242"/>
      <c r="EF30" s="19242"/>
      <c r="EG30" s="19242"/>
      <c r="EH30" s="19242"/>
      <c r="EI30" s="19242"/>
      <c r="EJ30" s="19242"/>
      <c r="EK30" s="19242"/>
      <c r="EL30" s="18868"/>
      <c r="EM30" s="19242" t="str">
        <f>IF(TITLE_IST_PUB_CHANGE="",IF(TITLE_IST_PUB="","",TITLE_IST_PUB),TITLE_IST_PUB_CHANGE)</f>
        <v>https://npa.gov-murman.ru/bitrix/components/b1team/govmurman.element.file/download.php?ID=508455&amp;FID=750728</v>
      </c>
      <c r="EN30" s="19242"/>
      <c r="EO30" s="19242"/>
      <c r="EP30" s="19242"/>
      <c r="EQ30" s="19242"/>
      <c r="ER30" s="19242"/>
      <c r="ES30" s="19242"/>
      <c r="ET30" s="19242"/>
      <c r="EU30" s="19242"/>
      <c r="EV30" s="19242"/>
      <c r="EW30" s="18868"/>
      <c r="EX30" s="687"/>
      <c r="EY30" s="641"/>
      <c r="EZ30" s="729"/>
      <c r="FA30" s="729"/>
      <c r="FB30" s="729"/>
      <c r="FC30" s="729"/>
      <c r="FD30" s="729"/>
    </row>
    <row customHeight="1" ht="14.25" hidden="1">
      <c r="Q31" s="737"/>
      <c r="R31" s="737"/>
      <c r="S31" s="1641"/>
      <c r="T31" s="724"/>
      <c r="U31" s="724"/>
      <c r="V31" s="683"/>
      <c r="W31" s="683"/>
      <c r="X31" s="683"/>
      <c r="Y31" s="683"/>
      <c r="Z31" s="683"/>
      <c r="AA31" s="683"/>
      <c r="AB31" s="683"/>
      <c r="AC31" s="683"/>
      <c r="AD31" s="683"/>
      <c r="AE31" s="683"/>
      <c r="AF31" s="683"/>
      <c r="AG31" s="683"/>
      <c r="AH31" s="683"/>
      <c r="AI31" s="683"/>
      <c r="AJ31" s="683"/>
      <c r="AK31" s="683"/>
      <c r="AL31" s="683"/>
      <c r="AM31" s="683"/>
      <c r="AN31" s="683"/>
      <c r="AO31" s="683"/>
      <c r="AP31" s="683"/>
      <c r="AQ31" s="683"/>
      <c r="AR31" s="6886"/>
      <c r="AS31" s="6886"/>
      <c r="AT31" s="6886"/>
      <c r="AU31" s="6886"/>
      <c r="AV31" s="6886"/>
      <c r="AW31" s="6886"/>
      <c r="AX31" s="6886"/>
      <c r="AY31" s="6886"/>
      <c r="AZ31" s="6886"/>
      <c r="BA31" s="6886"/>
      <c r="BB31" s="6886"/>
      <c r="BC31" s="6886"/>
      <c r="BD31" s="6886"/>
      <c r="BE31" s="6886"/>
      <c r="BF31" s="6886"/>
      <c r="BG31" s="6886"/>
      <c r="BH31" s="6886"/>
      <c r="BI31" s="6886"/>
      <c r="BJ31" s="6886"/>
      <c r="BK31" s="6886"/>
      <c r="BL31" s="6886"/>
      <c r="BM31" s="6886"/>
      <c r="BN31" s="6886"/>
      <c r="BO31" s="6886"/>
      <c r="BP31" s="6886"/>
      <c r="BQ31" s="6886"/>
      <c r="BR31" s="6886"/>
      <c r="BS31" s="6886"/>
      <c r="BT31" s="6886"/>
      <c r="BU31" s="6886"/>
      <c r="BV31" s="6886"/>
      <c r="BW31" s="6886"/>
      <c r="BX31" s="6886"/>
      <c r="BY31" s="6886"/>
      <c r="BZ31" s="6886"/>
      <c r="CA31" s="6886"/>
      <c r="CB31" s="6886"/>
      <c r="CC31" s="6886"/>
      <c r="CD31" s="6886"/>
      <c r="CE31" s="6886"/>
      <c r="CF31" s="6886"/>
      <c r="CG31" s="6886"/>
      <c r="CH31" s="6886"/>
      <c r="CI31" s="6886"/>
      <c r="CJ31" s="6886"/>
      <c r="CK31" s="6886"/>
      <c r="CL31" s="6886"/>
      <c r="CM31" s="6886"/>
      <c r="CN31" s="6886"/>
      <c r="CO31" s="6886"/>
      <c r="CP31" s="6886"/>
      <c r="CQ31" s="6886"/>
      <c r="CR31" s="6886"/>
      <c r="CS31" s="6886"/>
      <c r="CT31" s="6886"/>
      <c r="CU31" s="6886"/>
      <c r="CV31" s="6886"/>
      <c r="CW31" s="6886"/>
      <c r="CX31" s="6886"/>
      <c r="CY31" s="6886"/>
      <c r="CZ31" s="6886"/>
      <c r="DA31" s="6886"/>
      <c r="DB31" s="6886"/>
      <c r="DC31" s="6886"/>
      <c r="DD31" s="6886"/>
      <c r="DE31" s="6886"/>
      <c r="DF31" s="6886"/>
      <c r="DG31" s="6886"/>
      <c r="DH31" s="6886"/>
      <c r="DI31" s="6886"/>
      <c r="DJ31" s="6886"/>
      <c r="DK31" s="6886"/>
      <c r="DL31" s="6886"/>
      <c r="DM31" s="6886"/>
      <c r="DN31" s="6886"/>
      <c r="DO31" s="6886"/>
      <c r="DP31" s="6886"/>
      <c r="DQ31" s="6886"/>
      <c r="DR31" s="6886"/>
      <c r="DS31" s="6886"/>
      <c r="DT31" s="6886"/>
      <c r="DU31" s="6886"/>
      <c r="DV31" s="6886"/>
      <c r="DW31" s="6886"/>
      <c r="DX31" s="6886"/>
      <c r="DY31" s="6886"/>
      <c r="DZ31" s="6886"/>
      <c r="EA31" s="6886"/>
      <c r="EB31" s="19240"/>
      <c r="EC31" s="19240"/>
      <c r="ED31" s="19240"/>
      <c r="EE31" s="19240"/>
      <c r="EF31" s="19240"/>
      <c r="EG31" s="19240"/>
      <c r="EH31" s="19240"/>
      <c r="EI31" s="19240"/>
      <c r="EJ31" s="19240"/>
      <c r="EK31" s="19240"/>
      <c r="EL31" s="19240"/>
      <c r="EM31" s="19240"/>
      <c r="EN31" s="19240"/>
      <c r="EO31" s="19240"/>
      <c r="EP31" s="19240"/>
      <c r="EQ31" s="19240"/>
      <c r="ER31" s="19240"/>
      <c r="ES31" s="19240"/>
      <c r="ET31" s="19240"/>
      <c r="EU31" s="19240"/>
      <c r="EV31" s="19240"/>
      <c r="EW31" s="19240"/>
      <c r="EX31" s="870"/>
    </row>
    <row s="32230" customFormat="1" customHeight="1" ht="18.75" hidden="1">
      <c r="A32" s="1734"/>
      <c r="B32" s="1734"/>
      <c r="C32" s="1734"/>
      <c r="D32" s="1734"/>
      <c r="E32" s="1734"/>
      <c r="F32" s="1734"/>
      <c r="G32" s="1734"/>
      <c r="H32" s="1734"/>
      <c r="I32" s="1734"/>
      <c r="J32" s="1734"/>
      <c r="K32" s="1734"/>
      <c r="L32" s="1735"/>
      <c r="M32" s="1734"/>
      <c r="N32" s="1734"/>
      <c r="O32" s="1734"/>
      <c r="S32" s="2518" t="s">
        <v>464</v>
      </c>
      <c r="T32" s="2518"/>
      <c r="U32" s="1738"/>
      <c r="V32" s="2519" t="str">
        <f>IF(TITLE_DATE_PR_CHANGE="",IF(TITLE_DATE_PR="","",TITLE_DATE_PR),TITLE_DATE_PR_CHANGE)</f>
        <v>45280</v>
      </c>
      <c r="W32" s="2519"/>
      <c r="X32" s="2519"/>
      <c r="Y32" s="2519"/>
      <c r="Z32" s="2519"/>
      <c r="AA32" s="2519"/>
      <c r="AB32" s="2519"/>
      <c r="AC32" s="2519"/>
      <c r="AD32" s="2519"/>
      <c r="AE32" s="2519"/>
      <c r="AF32" s="687"/>
      <c r="AG32" s="2519" t="str">
        <f>IF(TITLE_DATE_PR_CHANGE="",IF(TITLE_DATE_PR="","",TITLE_DATE_PR),TITLE_DATE_PR_CHANGE)</f>
        <v>45280</v>
      </c>
      <c r="AH32" s="2519"/>
      <c r="AI32" s="2519"/>
      <c r="AJ32" s="2519"/>
      <c r="AK32" s="2519"/>
      <c r="AL32" s="2519"/>
      <c r="AM32" s="2519"/>
      <c r="AN32" s="2519"/>
      <c r="AO32" s="2519"/>
      <c r="AP32" s="2519"/>
      <c r="AQ32" s="687"/>
      <c r="AR32" s="6888" t="str">
        <f>IF(TITLE_DATE_PR_CHANGE="",IF(TITLE_DATE_PR="","",TITLE_DATE_PR),TITLE_DATE_PR_CHANGE)</f>
        <v>45280</v>
      </c>
      <c r="AS32" s="6888"/>
      <c r="AT32" s="6888"/>
      <c r="AU32" s="6888"/>
      <c r="AV32" s="6888"/>
      <c r="AW32" s="6888"/>
      <c r="AX32" s="6888"/>
      <c r="AY32" s="6888"/>
      <c r="AZ32" s="6888"/>
      <c r="BA32" s="6888"/>
      <c r="BB32" s="6601"/>
      <c r="BC32" s="6888" t="str">
        <f>IF(TITLE_DATE_PR_CHANGE="",IF(TITLE_DATE_PR="","",TITLE_DATE_PR),TITLE_DATE_PR_CHANGE)</f>
        <v>45280</v>
      </c>
      <c r="BD32" s="6888"/>
      <c r="BE32" s="6888"/>
      <c r="BF32" s="6888"/>
      <c r="BG32" s="6888"/>
      <c r="BH32" s="6888"/>
      <c r="BI32" s="6888"/>
      <c r="BJ32" s="6888"/>
      <c r="BK32" s="6888"/>
      <c r="BL32" s="6888"/>
      <c r="BM32" s="6601"/>
      <c r="BN32" s="6888" t="str">
        <f>IF(TITLE_DATE_PR_CHANGE="",IF(TITLE_DATE_PR="","",TITLE_DATE_PR),TITLE_DATE_PR_CHANGE)</f>
        <v>45280</v>
      </c>
      <c r="BO32" s="6888"/>
      <c r="BP32" s="6888"/>
      <c r="BQ32" s="6888"/>
      <c r="BR32" s="6888"/>
      <c r="BS32" s="6888"/>
      <c r="BT32" s="6888"/>
      <c r="BU32" s="6888"/>
      <c r="BV32" s="6888"/>
      <c r="BW32" s="6888"/>
      <c r="BX32" s="6601"/>
      <c r="BY32" s="6888" t="str">
        <f>IF(TITLE_DATE_PR_CHANGE="",IF(TITLE_DATE_PR="","",TITLE_DATE_PR),TITLE_DATE_PR_CHANGE)</f>
        <v>45280</v>
      </c>
      <c r="BZ32" s="6888"/>
      <c r="CA32" s="6888"/>
      <c r="CB32" s="6888"/>
      <c r="CC32" s="6888"/>
      <c r="CD32" s="6888"/>
      <c r="CE32" s="6888"/>
      <c r="CF32" s="6888"/>
      <c r="CG32" s="6888"/>
      <c r="CH32" s="6888"/>
      <c r="CI32" s="6601"/>
      <c r="CJ32" s="6888" t="str">
        <f>IF(TITLE_DATE_PR_CHANGE="",IF(TITLE_DATE_PR="","",TITLE_DATE_PR),TITLE_DATE_PR_CHANGE)</f>
        <v>45280</v>
      </c>
      <c r="CK32" s="6888"/>
      <c r="CL32" s="6888"/>
      <c r="CM32" s="6888"/>
      <c r="CN32" s="6888"/>
      <c r="CO32" s="6888"/>
      <c r="CP32" s="6888"/>
      <c r="CQ32" s="6888"/>
      <c r="CR32" s="6888"/>
      <c r="CS32" s="6888"/>
      <c r="CT32" s="6601"/>
      <c r="CU32" s="6888" t="str">
        <f>IF(TITLE_DATE_PR_CHANGE="",IF(TITLE_DATE_PR="","",TITLE_DATE_PR),TITLE_DATE_PR_CHANGE)</f>
        <v>45280</v>
      </c>
      <c r="CV32" s="6888"/>
      <c r="CW32" s="6888"/>
      <c r="CX32" s="6888"/>
      <c r="CY32" s="6888"/>
      <c r="CZ32" s="6888"/>
      <c r="DA32" s="6888"/>
      <c r="DB32" s="6888"/>
      <c r="DC32" s="6888"/>
      <c r="DD32" s="6888"/>
      <c r="DE32" s="6601"/>
      <c r="DF32" s="6888" t="str">
        <f>IF(TITLE_DATE_PR_CHANGE="",IF(TITLE_DATE_PR="","",TITLE_DATE_PR),TITLE_DATE_PR_CHANGE)</f>
        <v>45280</v>
      </c>
      <c r="DG32" s="6888"/>
      <c r="DH32" s="6888"/>
      <c r="DI32" s="6888"/>
      <c r="DJ32" s="6888"/>
      <c r="DK32" s="6888"/>
      <c r="DL32" s="6888"/>
      <c r="DM32" s="6888"/>
      <c r="DN32" s="6888"/>
      <c r="DO32" s="6888"/>
      <c r="DP32" s="6601"/>
      <c r="DQ32" s="6888" t="str">
        <f>IF(TITLE_DATE_PR_CHANGE="",IF(TITLE_DATE_PR="","",TITLE_DATE_PR),TITLE_DATE_PR_CHANGE)</f>
        <v>45280</v>
      </c>
      <c r="DR32" s="6888"/>
      <c r="DS32" s="6888"/>
      <c r="DT32" s="6888"/>
      <c r="DU32" s="6888"/>
      <c r="DV32" s="6888"/>
      <c r="DW32" s="6888"/>
      <c r="DX32" s="6888"/>
      <c r="DY32" s="6888"/>
      <c r="DZ32" s="6888"/>
      <c r="EA32" s="6601"/>
      <c r="EB32" s="19244" t="str">
        <f>IF(TITLE_DATE_PR_CHANGE="",IF(TITLE_DATE_PR="","",TITLE_DATE_PR),TITLE_DATE_PR_CHANGE)</f>
        <v>45280</v>
      </c>
      <c r="EC32" s="19244"/>
      <c r="ED32" s="19244"/>
      <c r="EE32" s="19244"/>
      <c r="EF32" s="19244"/>
      <c r="EG32" s="19244"/>
      <c r="EH32" s="19244"/>
      <c r="EI32" s="19244"/>
      <c r="EJ32" s="19244"/>
      <c r="EK32" s="19244"/>
      <c r="EL32" s="18868"/>
      <c r="EM32" s="19244" t="str">
        <f>IF(TITLE_DATE_PR_CHANGE="",IF(TITLE_DATE_PR="","",TITLE_DATE_PR),TITLE_DATE_PR_CHANGE)</f>
        <v>45280</v>
      </c>
      <c r="EN32" s="19244"/>
      <c r="EO32" s="19244"/>
      <c r="EP32" s="19244"/>
      <c r="EQ32" s="19244"/>
      <c r="ER32" s="19244"/>
      <c r="ES32" s="19244"/>
      <c r="ET32" s="19244"/>
      <c r="EU32" s="19244"/>
      <c r="EV32" s="19244"/>
      <c r="EW32" s="18868"/>
      <c r="EX32" s="687"/>
      <c r="EY32" s="641"/>
      <c r="EZ32" s="729"/>
      <c r="FA32" s="729"/>
      <c r="FB32" s="729"/>
      <c r="FC32" s="729"/>
      <c r="FD32" s="729"/>
    </row>
    <row s="32230" customFormat="1" customHeight="1" ht="18.75" hidden="1">
      <c r="A33" s="1734"/>
      <c r="B33" s="1734"/>
      <c r="C33" s="1734"/>
      <c r="D33" s="1734"/>
      <c r="E33" s="1734"/>
      <c r="F33" s="1734"/>
      <c r="G33" s="1734"/>
      <c r="H33" s="1734"/>
      <c r="I33" s="1734"/>
      <c r="J33" s="1734"/>
      <c r="K33" s="1734"/>
      <c r="L33" s="1735"/>
      <c r="M33" s="1734"/>
      <c r="N33" s="1734"/>
      <c r="O33" s="1734"/>
      <c r="S33" s="2518" t="s">
        <v>465</v>
      </c>
      <c r="T33" s="2518"/>
      <c r="U33" s="1738"/>
      <c r="V33" s="2520" t="str">
        <f>IF(TITLE_NUMBER_PR_CHANGE="",IF(TITLE_NUMBER_PR="","",TITLE_NUMBER_PR),TITLE_NUMBER_PR_CHANGE)</f>
        <v>51/16</v>
      </c>
      <c r="W33" s="2520"/>
      <c r="X33" s="2520"/>
      <c r="Y33" s="2520"/>
      <c r="Z33" s="2520"/>
      <c r="AA33" s="2520"/>
      <c r="AB33" s="2520"/>
      <c r="AC33" s="2520"/>
      <c r="AD33" s="2520"/>
      <c r="AE33" s="2520"/>
      <c r="AF33" s="687"/>
      <c r="AG33" s="2520" t="str">
        <f>IF(TITLE_NUMBER_PR_CHANGE="",IF(TITLE_NUMBER_PR="","",TITLE_NUMBER_PR),TITLE_NUMBER_PR_CHANGE)</f>
        <v>51/16</v>
      </c>
      <c r="AH33" s="2520"/>
      <c r="AI33" s="2520"/>
      <c r="AJ33" s="2520"/>
      <c r="AK33" s="2520"/>
      <c r="AL33" s="2520"/>
      <c r="AM33" s="2520"/>
      <c r="AN33" s="2520"/>
      <c r="AO33" s="2520"/>
      <c r="AP33" s="2520"/>
      <c r="AQ33" s="687"/>
      <c r="AR33" s="6887" t="str">
        <f>IF(TITLE_NUMBER_PR_CHANGE="",IF(TITLE_NUMBER_PR="","",TITLE_NUMBER_PR),TITLE_NUMBER_PR_CHANGE)</f>
        <v>51/16</v>
      </c>
      <c r="AS33" s="6887"/>
      <c r="AT33" s="6887"/>
      <c r="AU33" s="6887"/>
      <c r="AV33" s="6887"/>
      <c r="AW33" s="6887"/>
      <c r="AX33" s="6887"/>
      <c r="AY33" s="6887"/>
      <c r="AZ33" s="6887"/>
      <c r="BA33" s="6887"/>
      <c r="BB33" s="6601"/>
      <c r="BC33" s="6887" t="str">
        <f>IF(TITLE_NUMBER_PR_CHANGE="",IF(TITLE_NUMBER_PR="","",TITLE_NUMBER_PR),TITLE_NUMBER_PR_CHANGE)</f>
        <v>51/16</v>
      </c>
      <c r="BD33" s="6887"/>
      <c r="BE33" s="6887"/>
      <c r="BF33" s="6887"/>
      <c r="BG33" s="6887"/>
      <c r="BH33" s="6887"/>
      <c r="BI33" s="6887"/>
      <c r="BJ33" s="6887"/>
      <c r="BK33" s="6887"/>
      <c r="BL33" s="6887"/>
      <c r="BM33" s="6601"/>
      <c r="BN33" s="6887" t="str">
        <f>IF(TITLE_NUMBER_PR_CHANGE="",IF(TITLE_NUMBER_PR="","",TITLE_NUMBER_PR),TITLE_NUMBER_PR_CHANGE)</f>
        <v>51/16</v>
      </c>
      <c r="BO33" s="6887"/>
      <c r="BP33" s="6887"/>
      <c r="BQ33" s="6887"/>
      <c r="BR33" s="6887"/>
      <c r="BS33" s="6887"/>
      <c r="BT33" s="6887"/>
      <c r="BU33" s="6887"/>
      <c r="BV33" s="6887"/>
      <c r="BW33" s="6887"/>
      <c r="BX33" s="6601"/>
      <c r="BY33" s="6887" t="str">
        <f>IF(TITLE_NUMBER_PR_CHANGE="",IF(TITLE_NUMBER_PR="","",TITLE_NUMBER_PR),TITLE_NUMBER_PR_CHANGE)</f>
        <v>51/16</v>
      </c>
      <c r="BZ33" s="6887"/>
      <c r="CA33" s="6887"/>
      <c r="CB33" s="6887"/>
      <c r="CC33" s="6887"/>
      <c r="CD33" s="6887"/>
      <c r="CE33" s="6887"/>
      <c r="CF33" s="6887"/>
      <c r="CG33" s="6887"/>
      <c r="CH33" s="6887"/>
      <c r="CI33" s="6601"/>
      <c r="CJ33" s="6887" t="str">
        <f>IF(TITLE_NUMBER_PR_CHANGE="",IF(TITLE_NUMBER_PR="","",TITLE_NUMBER_PR),TITLE_NUMBER_PR_CHANGE)</f>
        <v>51/16</v>
      </c>
      <c r="CK33" s="6887"/>
      <c r="CL33" s="6887"/>
      <c r="CM33" s="6887"/>
      <c r="CN33" s="6887"/>
      <c r="CO33" s="6887"/>
      <c r="CP33" s="6887"/>
      <c r="CQ33" s="6887"/>
      <c r="CR33" s="6887"/>
      <c r="CS33" s="6887"/>
      <c r="CT33" s="6601"/>
      <c r="CU33" s="6887" t="str">
        <f>IF(TITLE_NUMBER_PR_CHANGE="",IF(TITLE_NUMBER_PR="","",TITLE_NUMBER_PR),TITLE_NUMBER_PR_CHANGE)</f>
        <v>51/16</v>
      </c>
      <c r="CV33" s="6887"/>
      <c r="CW33" s="6887"/>
      <c r="CX33" s="6887"/>
      <c r="CY33" s="6887"/>
      <c r="CZ33" s="6887"/>
      <c r="DA33" s="6887"/>
      <c r="DB33" s="6887"/>
      <c r="DC33" s="6887"/>
      <c r="DD33" s="6887"/>
      <c r="DE33" s="6601"/>
      <c r="DF33" s="6887" t="str">
        <f>IF(TITLE_NUMBER_PR_CHANGE="",IF(TITLE_NUMBER_PR="","",TITLE_NUMBER_PR),TITLE_NUMBER_PR_CHANGE)</f>
        <v>51/16</v>
      </c>
      <c r="DG33" s="6887"/>
      <c r="DH33" s="6887"/>
      <c r="DI33" s="6887"/>
      <c r="DJ33" s="6887"/>
      <c r="DK33" s="6887"/>
      <c r="DL33" s="6887"/>
      <c r="DM33" s="6887"/>
      <c r="DN33" s="6887"/>
      <c r="DO33" s="6887"/>
      <c r="DP33" s="6601"/>
      <c r="DQ33" s="6887" t="str">
        <f>IF(TITLE_NUMBER_PR_CHANGE="",IF(TITLE_NUMBER_PR="","",TITLE_NUMBER_PR),TITLE_NUMBER_PR_CHANGE)</f>
        <v>51/16</v>
      </c>
      <c r="DR33" s="6887"/>
      <c r="DS33" s="6887"/>
      <c r="DT33" s="6887"/>
      <c r="DU33" s="6887"/>
      <c r="DV33" s="6887"/>
      <c r="DW33" s="6887"/>
      <c r="DX33" s="6887"/>
      <c r="DY33" s="6887"/>
      <c r="DZ33" s="6887"/>
      <c r="EA33" s="6601"/>
      <c r="EB33" s="19242" t="str">
        <f>IF(TITLE_NUMBER_PR_CHANGE="",IF(TITLE_NUMBER_PR="","",TITLE_NUMBER_PR),TITLE_NUMBER_PR_CHANGE)</f>
        <v>51/16</v>
      </c>
      <c r="EC33" s="19242"/>
      <c r="ED33" s="19242"/>
      <c r="EE33" s="19242"/>
      <c r="EF33" s="19242"/>
      <c r="EG33" s="19242"/>
      <c r="EH33" s="19242"/>
      <c r="EI33" s="19242"/>
      <c r="EJ33" s="19242"/>
      <c r="EK33" s="19242"/>
      <c r="EL33" s="18868"/>
      <c r="EM33" s="19242" t="str">
        <f>IF(TITLE_NUMBER_PR_CHANGE="",IF(TITLE_NUMBER_PR="","",TITLE_NUMBER_PR),TITLE_NUMBER_PR_CHANGE)</f>
        <v>51/16</v>
      </c>
      <c r="EN33" s="19242"/>
      <c r="EO33" s="19242"/>
      <c r="EP33" s="19242"/>
      <c r="EQ33" s="19242"/>
      <c r="ER33" s="19242"/>
      <c r="ES33" s="19242"/>
      <c r="ET33" s="19242"/>
      <c r="EU33" s="19242"/>
      <c r="EV33" s="19242"/>
      <c r="EW33" s="18868"/>
      <c r="EX33" s="687"/>
      <c r="EY33" s="641"/>
      <c r="EZ33" s="729"/>
      <c r="FA33" s="729"/>
      <c r="FB33" s="729"/>
      <c r="FC33" s="729"/>
      <c r="FD33" s="729"/>
    </row>
    <row s="32230" customFormat="1" customHeight="1" ht="0.75">
      <c r="A34" s="1734"/>
      <c r="B34" s="1734"/>
      <c r="C34" s="1734"/>
      <c r="D34" s="1734"/>
      <c r="E34" s="1734"/>
      <c r="F34" s="1734"/>
      <c r="G34" s="1734"/>
      <c r="H34" s="1734"/>
      <c r="I34" s="1734"/>
      <c r="J34" s="1734"/>
      <c r="K34" s="1734"/>
      <c r="L34" s="1735"/>
      <c r="M34" s="1734"/>
      <c r="N34" s="1734"/>
      <c r="O34" s="1734"/>
      <c r="S34" s="684"/>
      <c r="T34" s="684"/>
      <c r="U34" s="1854"/>
      <c r="V34" s="687"/>
      <c r="W34" s="2001"/>
      <c r="X34" s="2001"/>
      <c r="Y34" s="2001"/>
      <c r="Z34" s="2001"/>
      <c r="AA34" s="2001"/>
      <c r="AB34" s="2001"/>
      <c r="AC34" s="687"/>
      <c r="AD34" s="687"/>
      <c r="AE34" s="687"/>
      <c r="AF34" s="639" t="s">
        <v>466</v>
      </c>
      <c r="AG34" s="687"/>
      <c r="AH34" s="2001"/>
      <c r="AI34" s="2001"/>
      <c r="AJ34" s="2001"/>
      <c r="AK34" s="2001"/>
      <c r="AL34" s="2001"/>
      <c r="AM34" s="687"/>
      <c r="AN34" s="687"/>
      <c r="AO34" s="687"/>
      <c r="AP34" s="687"/>
      <c r="AQ34" s="639" t="s">
        <v>466</v>
      </c>
      <c r="AR34" s="6601"/>
      <c r="AS34" s="6601"/>
      <c r="AT34" s="6601"/>
      <c r="AU34" s="6601"/>
      <c r="AV34" s="6601"/>
      <c r="AW34" s="6601"/>
      <c r="AX34" s="6601"/>
      <c r="AY34" s="6601"/>
      <c r="AZ34" s="6601"/>
      <c r="BA34" s="6601"/>
      <c r="BB34" s="6889" t="s">
        <v>466</v>
      </c>
      <c r="BC34" s="6601"/>
      <c r="BD34" s="6601"/>
      <c r="BE34" s="6601"/>
      <c r="BF34" s="6601"/>
      <c r="BG34" s="6601"/>
      <c r="BH34" s="6601"/>
      <c r="BI34" s="6601"/>
      <c r="BJ34" s="6601"/>
      <c r="BK34" s="6601"/>
      <c r="BL34" s="6601"/>
      <c r="BM34" s="6889" t="s">
        <v>466</v>
      </c>
      <c r="BN34" s="6601"/>
      <c r="BO34" s="6601"/>
      <c r="BP34" s="6601"/>
      <c r="BQ34" s="6601"/>
      <c r="BR34" s="6601"/>
      <c r="BS34" s="6601"/>
      <c r="BT34" s="6601"/>
      <c r="BU34" s="6601"/>
      <c r="BV34" s="6601"/>
      <c r="BW34" s="6601"/>
      <c r="BX34" s="6889" t="s">
        <v>466</v>
      </c>
      <c r="BY34" s="6601"/>
      <c r="BZ34" s="6601"/>
      <c r="CA34" s="6601"/>
      <c r="CB34" s="6601"/>
      <c r="CC34" s="6601"/>
      <c r="CD34" s="6601"/>
      <c r="CE34" s="6601"/>
      <c r="CF34" s="6601"/>
      <c r="CG34" s="6601"/>
      <c r="CH34" s="6601"/>
      <c r="CI34" s="6889" t="s">
        <v>466</v>
      </c>
      <c r="CJ34" s="6601"/>
      <c r="CK34" s="6601"/>
      <c r="CL34" s="6601"/>
      <c r="CM34" s="6601"/>
      <c r="CN34" s="6601"/>
      <c r="CO34" s="6601"/>
      <c r="CP34" s="6601"/>
      <c r="CQ34" s="6601"/>
      <c r="CR34" s="6601"/>
      <c r="CS34" s="6601"/>
      <c r="CT34" s="6889" t="s">
        <v>466</v>
      </c>
      <c r="CU34" s="6601"/>
      <c r="CV34" s="6601"/>
      <c r="CW34" s="6601"/>
      <c r="CX34" s="6601"/>
      <c r="CY34" s="6601"/>
      <c r="CZ34" s="6601"/>
      <c r="DA34" s="6601"/>
      <c r="DB34" s="6601"/>
      <c r="DC34" s="6601"/>
      <c r="DD34" s="6601"/>
      <c r="DE34" s="6889" t="s">
        <v>466</v>
      </c>
      <c r="DF34" s="6601"/>
      <c r="DG34" s="6601"/>
      <c r="DH34" s="6601"/>
      <c r="DI34" s="6601"/>
      <c r="DJ34" s="6601"/>
      <c r="DK34" s="6601"/>
      <c r="DL34" s="6601"/>
      <c r="DM34" s="6601"/>
      <c r="DN34" s="6601"/>
      <c r="DO34" s="6601"/>
      <c r="DP34" s="6889" t="s">
        <v>466</v>
      </c>
      <c r="DQ34" s="6601"/>
      <c r="DR34" s="6601"/>
      <c r="DS34" s="6601"/>
      <c r="DT34" s="6601"/>
      <c r="DU34" s="6601"/>
      <c r="DV34" s="6601"/>
      <c r="DW34" s="6601"/>
      <c r="DX34" s="6601"/>
      <c r="DY34" s="6601"/>
      <c r="DZ34" s="6601"/>
      <c r="EA34" s="6889" t="s">
        <v>466</v>
      </c>
      <c r="EB34" s="18868"/>
      <c r="EC34" s="18868"/>
      <c r="ED34" s="18868"/>
      <c r="EE34" s="18868"/>
      <c r="EF34" s="18868"/>
      <c r="EG34" s="18868"/>
      <c r="EH34" s="18868"/>
      <c r="EI34" s="18868"/>
      <c r="EJ34" s="18868"/>
      <c r="EK34" s="18868"/>
      <c r="EL34" s="19246" t="s">
        <v>466</v>
      </c>
      <c r="EM34" s="18868"/>
      <c r="EN34" s="18868"/>
      <c r="EO34" s="18868"/>
      <c r="EP34" s="18868"/>
      <c r="EQ34" s="18868"/>
      <c r="ER34" s="18868"/>
      <c r="ES34" s="18868"/>
      <c r="ET34" s="18868"/>
      <c r="EU34" s="18868"/>
      <c r="EV34" s="18868"/>
      <c r="EW34" s="19246" t="s">
        <v>466</v>
      </c>
      <c r="EZ34" s="729"/>
      <c r="FA34" s="729"/>
      <c r="FB34" s="729"/>
      <c r="FC34" s="729"/>
      <c r="FD34" s="729"/>
    </row>
    <row customHeight="1" ht="14.25">
      <c r="Q35" s="737"/>
      <c r="R35" s="737"/>
      <c r="S35" s="1641"/>
      <c r="T35" s="724"/>
      <c r="U35" s="1609"/>
      <c r="V35" s="2544"/>
      <c r="W35" s="2544"/>
      <c r="X35" s="2544"/>
      <c r="Y35" s="2544"/>
      <c r="Z35" s="2544"/>
      <c r="AA35" s="2544"/>
      <c r="AB35" s="2544"/>
      <c r="AC35" s="2544"/>
      <c r="AD35" s="2544"/>
      <c r="AE35" s="2544"/>
      <c r="AF35" s="2544"/>
      <c r="AG35" s="2544"/>
      <c r="AH35" s="2544"/>
      <c r="AI35" s="2544"/>
      <c r="AJ35" s="2544"/>
      <c r="AK35" s="2544"/>
      <c r="AL35" s="2544"/>
      <c r="AM35" s="2544"/>
      <c r="AN35" s="2544"/>
      <c r="AO35" s="2544"/>
      <c r="AP35" s="2544"/>
      <c r="AQ35" s="2544"/>
      <c r="AR35" s="6890" t="s">
        <v>103</v>
      </c>
      <c r="AS35" s="6890"/>
      <c r="AT35" s="6890"/>
      <c r="AU35" s="6890"/>
      <c r="AV35" s="6890"/>
      <c r="AW35" s="6890"/>
      <c r="AX35" s="6890"/>
      <c r="AY35" s="6890"/>
      <c r="AZ35" s="6890"/>
      <c r="BA35" s="6890"/>
      <c r="BB35" s="6890"/>
      <c r="BC35" s="6890" t="s">
        <v>103</v>
      </c>
      <c r="BD35" s="6890"/>
      <c r="BE35" s="6890"/>
      <c r="BF35" s="6890"/>
      <c r="BG35" s="6890"/>
      <c r="BH35" s="6890"/>
      <c r="BI35" s="6890"/>
      <c r="BJ35" s="6890"/>
      <c r="BK35" s="6890"/>
      <c r="BL35" s="6890"/>
      <c r="BM35" s="6890"/>
      <c r="BN35" s="6890" t="s">
        <v>103</v>
      </c>
      <c r="BO35" s="6890"/>
      <c r="BP35" s="6890"/>
      <c r="BQ35" s="6890"/>
      <c r="BR35" s="6890"/>
      <c r="BS35" s="6890"/>
      <c r="BT35" s="6890"/>
      <c r="BU35" s="6890"/>
      <c r="BV35" s="6890"/>
      <c r="BW35" s="6890"/>
      <c r="BX35" s="6890"/>
      <c r="BY35" s="6890" t="s">
        <v>103</v>
      </c>
      <c r="BZ35" s="6890"/>
      <c r="CA35" s="6890"/>
      <c r="CB35" s="6890"/>
      <c r="CC35" s="6890"/>
      <c r="CD35" s="6890"/>
      <c r="CE35" s="6890"/>
      <c r="CF35" s="6890"/>
      <c r="CG35" s="6890"/>
      <c r="CH35" s="6890"/>
      <c r="CI35" s="6890"/>
      <c r="CJ35" s="6890" t="s">
        <v>103</v>
      </c>
      <c r="CK35" s="6890"/>
      <c r="CL35" s="6890"/>
      <c r="CM35" s="6890"/>
      <c r="CN35" s="6890"/>
      <c r="CO35" s="6890"/>
      <c r="CP35" s="6890"/>
      <c r="CQ35" s="6890"/>
      <c r="CR35" s="6890"/>
      <c r="CS35" s="6890"/>
      <c r="CT35" s="6890"/>
      <c r="CU35" s="6890" t="s">
        <v>103</v>
      </c>
      <c r="CV35" s="6890"/>
      <c r="CW35" s="6890"/>
      <c r="CX35" s="6890"/>
      <c r="CY35" s="6890"/>
      <c r="CZ35" s="6890"/>
      <c r="DA35" s="6890"/>
      <c r="DB35" s="6890"/>
      <c r="DC35" s="6890"/>
      <c r="DD35" s="6890"/>
      <c r="DE35" s="6890"/>
      <c r="DF35" s="6890" t="s">
        <v>103</v>
      </c>
      <c r="DG35" s="6890"/>
      <c r="DH35" s="6890"/>
      <c r="DI35" s="6890"/>
      <c r="DJ35" s="6890"/>
      <c r="DK35" s="6890"/>
      <c r="DL35" s="6890"/>
      <c r="DM35" s="6890"/>
      <c r="DN35" s="6890"/>
      <c r="DO35" s="6890"/>
      <c r="DP35" s="6890"/>
      <c r="DQ35" s="6890" t="s">
        <v>103</v>
      </c>
      <c r="DR35" s="6890"/>
      <c r="DS35" s="6890"/>
      <c r="DT35" s="6890"/>
      <c r="DU35" s="6890"/>
      <c r="DV35" s="6890"/>
      <c r="DW35" s="6890"/>
      <c r="DX35" s="6890"/>
      <c r="DY35" s="6890"/>
      <c r="DZ35" s="6890"/>
      <c r="EA35" s="6890"/>
      <c r="EB35" s="19248" t="s">
        <v>103</v>
      </c>
      <c r="EC35" s="19248"/>
      <c r="ED35" s="19248"/>
      <c r="EE35" s="19248"/>
      <c r="EF35" s="19248"/>
      <c r="EG35" s="19248"/>
      <c r="EH35" s="19248"/>
      <c r="EI35" s="19248"/>
      <c r="EJ35" s="19248"/>
      <c r="EK35" s="19248"/>
      <c r="EL35" s="19248"/>
      <c r="EM35" s="19248" t="s">
        <v>103</v>
      </c>
      <c r="EN35" s="19248"/>
      <c r="EO35" s="19248"/>
      <c r="EP35" s="19248"/>
      <c r="EQ35" s="19248"/>
      <c r="ER35" s="19248"/>
      <c r="ES35" s="19248"/>
      <c r="ET35" s="19248"/>
      <c r="EU35" s="19248"/>
      <c r="EV35" s="19248"/>
      <c r="EW35" s="19248"/>
    </row>
    <row customHeight="1" ht="14.25">
      <c r="Q36" s="737"/>
      <c r="R36" s="737"/>
      <c r="S36" s="2392" t="s">
        <v>341</v>
      </c>
      <c r="T36" s="2392"/>
      <c r="U36" s="2392"/>
      <c r="V36" s="2392"/>
      <c r="W36" s="2392"/>
      <c r="X36" s="2392"/>
      <c r="Y36" s="2392"/>
      <c r="Z36" s="2392"/>
      <c r="AA36" s="2392"/>
      <c r="AB36" s="2392"/>
      <c r="AC36" s="2392"/>
      <c r="AD36" s="2392"/>
      <c r="AE36" s="2392"/>
      <c r="AF36" s="2392"/>
      <c r="AG36" s="2392"/>
      <c r="AH36" s="2392"/>
      <c r="AI36" s="2392"/>
      <c r="AJ36" s="2392"/>
      <c r="AK36" s="2392"/>
      <c r="AL36" s="2392"/>
      <c r="AM36" s="2392"/>
      <c r="AN36" s="2392"/>
      <c r="AO36" s="2392"/>
      <c r="AP36" s="2392"/>
      <c r="AQ36" s="2392"/>
      <c r="AR36" s="6891" t="s">
        <v>341</v>
      </c>
      <c r="AS36" s="6891"/>
      <c r="AT36" s="6891"/>
      <c r="AU36" s="6891"/>
      <c r="AV36" s="6891"/>
      <c r="AW36" s="6891"/>
      <c r="AX36" s="6891"/>
      <c r="AY36" s="6891"/>
      <c r="AZ36" s="6891"/>
      <c r="BA36" s="6891"/>
      <c r="BB36" s="6891"/>
      <c r="BC36" s="6891" t="s">
        <v>341</v>
      </c>
      <c r="BD36" s="6891"/>
      <c r="BE36" s="6891"/>
      <c r="BF36" s="6891"/>
      <c r="BG36" s="6891"/>
      <c r="BH36" s="6891"/>
      <c r="BI36" s="6891"/>
      <c r="BJ36" s="6891"/>
      <c r="BK36" s="6891"/>
      <c r="BL36" s="6891"/>
      <c r="BM36" s="6891"/>
      <c r="BN36" s="6891" t="s">
        <v>341</v>
      </c>
      <c r="BO36" s="6891"/>
      <c r="BP36" s="6891"/>
      <c r="BQ36" s="6891"/>
      <c r="BR36" s="6891"/>
      <c r="BS36" s="6891"/>
      <c r="BT36" s="6891"/>
      <c r="BU36" s="6891"/>
      <c r="BV36" s="6891"/>
      <c r="BW36" s="6891"/>
      <c r="BX36" s="6891"/>
      <c r="BY36" s="6891" t="s">
        <v>341</v>
      </c>
      <c r="BZ36" s="6891"/>
      <c r="CA36" s="6891"/>
      <c r="CB36" s="6891"/>
      <c r="CC36" s="6891"/>
      <c r="CD36" s="6891"/>
      <c r="CE36" s="6891"/>
      <c r="CF36" s="6891"/>
      <c r="CG36" s="6891"/>
      <c r="CH36" s="6891"/>
      <c r="CI36" s="6891"/>
      <c r="CJ36" s="6891" t="s">
        <v>341</v>
      </c>
      <c r="CK36" s="6891"/>
      <c r="CL36" s="6891"/>
      <c r="CM36" s="6891"/>
      <c r="CN36" s="6891"/>
      <c r="CO36" s="6891"/>
      <c r="CP36" s="6891"/>
      <c r="CQ36" s="6891"/>
      <c r="CR36" s="6891"/>
      <c r="CS36" s="6891"/>
      <c r="CT36" s="6891"/>
      <c r="CU36" s="6891" t="s">
        <v>341</v>
      </c>
      <c r="CV36" s="6891"/>
      <c r="CW36" s="6891"/>
      <c r="CX36" s="6891"/>
      <c r="CY36" s="6891"/>
      <c r="CZ36" s="6891"/>
      <c r="DA36" s="6891"/>
      <c r="DB36" s="6891"/>
      <c r="DC36" s="6891"/>
      <c r="DD36" s="6891"/>
      <c r="DE36" s="6891"/>
      <c r="DF36" s="6891" t="s">
        <v>341</v>
      </c>
      <c r="DG36" s="6891"/>
      <c r="DH36" s="6891"/>
      <c r="DI36" s="6891"/>
      <c r="DJ36" s="6891"/>
      <c r="DK36" s="6891"/>
      <c r="DL36" s="6891"/>
      <c r="DM36" s="6891"/>
      <c r="DN36" s="6891"/>
      <c r="DO36" s="6891"/>
      <c r="DP36" s="6891"/>
      <c r="DQ36" s="6891" t="s">
        <v>341</v>
      </c>
      <c r="DR36" s="6891"/>
      <c r="DS36" s="6891"/>
      <c r="DT36" s="6891"/>
      <c r="DU36" s="6891"/>
      <c r="DV36" s="6891"/>
      <c r="DW36" s="6891"/>
      <c r="DX36" s="6891"/>
      <c r="DY36" s="6891"/>
      <c r="DZ36" s="6891"/>
      <c r="EA36" s="6891"/>
      <c r="EB36" s="19250" t="s">
        <v>341</v>
      </c>
      <c r="EC36" s="19250"/>
      <c r="ED36" s="19250"/>
      <c r="EE36" s="19250"/>
      <c r="EF36" s="19250"/>
      <c r="EG36" s="19250"/>
      <c r="EH36" s="19250"/>
      <c r="EI36" s="19250"/>
      <c r="EJ36" s="19250"/>
      <c r="EK36" s="19250"/>
      <c r="EL36" s="19250"/>
      <c r="EM36" s="19250" t="s">
        <v>341</v>
      </c>
      <c r="EN36" s="19250"/>
      <c r="EO36" s="19250"/>
      <c r="EP36" s="19250"/>
      <c r="EQ36" s="19250"/>
      <c r="ER36" s="19250"/>
      <c r="ES36" s="19250"/>
      <c r="ET36" s="19250"/>
      <c r="EU36" s="19250"/>
      <c r="EV36" s="19250"/>
      <c r="EW36" s="19250"/>
      <c r="EX36" s="2392"/>
      <c r="EY36" s="2392"/>
    </row>
    <row customHeight="1" ht="14.25">
      <c r="Q37" s="737"/>
      <c r="R37" s="737"/>
      <c r="S37" s="2545" t="s">
        <v>87</v>
      </c>
      <c r="T37" s="2482" t="s">
        <v>467</v>
      </c>
      <c r="U37" s="662"/>
      <c r="V37" s="2546" t="s">
        <v>468</v>
      </c>
      <c r="W37" s="2568"/>
      <c r="X37" s="2568"/>
      <c r="Y37" s="2568"/>
      <c r="Z37" s="2568"/>
      <c r="AA37" s="2568"/>
      <c r="AB37" s="2568"/>
      <c r="AC37" s="2547"/>
      <c r="AD37" s="2547"/>
      <c r="AE37" s="2548"/>
      <c r="AF37" s="2549" t="s">
        <v>469</v>
      </c>
      <c r="AG37" s="2546" t="s">
        <v>468</v>
      </c>
      <c r="AH37" s="2547"/>
      <c r="AI37" s="2547"/>
      <c r="AJ37" s="2547"/>
      <c r="AK37" s="2547"/>
      <c r="AL37" s="2547"/>
      <c r="AM37" s="2547"/>
      <c r="AN37" s="2547"/>
      <c r="AO37" s="2547"/>
      <c r="AP37" s="2548"/>
      <c r="AQ37" s="2549" t="s">
        <v>470</v>
      </c>
      <c r="AR37" s="6892" t="s">
        <v>468</v>
      </c>
      <c r="AS37" s="6893"/>
      <c r="AT37" s="6893"/>
      <c r="AU37" s="6893"/>
      <c r="AV37" s="6893"/>
      <c r="AW37" s="6893"/>
      <c r="AX37" s="6893"/>
      <c r="AY37" s="6894"/>
      <c r="AZ37" s="6894"/>
      <c r="BA37" s="6895"/>
      <c r="BB37" s="6896" t="s">
        <v>469</v>
      </c>
      <c r="BC37" s="6892" t="s">
        <v>468</v>
      </c>
      <c r="BD37" s="6893"/>
      <c r="BE37" s="6893"/>
      <c r="BF37" s="6893"/>
      <c r="BG37" s="6893"/>
      <c r="BH37" s="6893"/>
      <c r="BI37" s="6893"/>
      <c r="BJ37" s="6894"/>
      <c r="BK37" s="6894"/>
      <c r="BL37" s="6895"/>
      <c r="BM37" s="6896" t="s">
        <v>469</v>
      </c>
      <c r="BN37" s="6892" t="s">
        <v>468</v>
      </c>
      <c r="BO37" s="6893"/>
      <c r="BP37" s="6893"/>
      <c r="BQ37" s="6893"/>
      <c r="BR37" s="6893"/>
      <c r="BS37" s="6893"/>
      <c r="BT37" s="6893"/>
      <c r="BU37" s="6894"/>
      <c r="BV37" s="6894"/>
      <c r="BW37" s="6895"/>
      <c r="BX37" s="6896" t="s">
        <v>469</v>
      </c>
      <c r="BY37" s="6892" t="s">
        <v>468</v>
      </c>
      <c r="BZ37" s="6893"/>
      <c r="CA37" s="6893"/>
      <c r="CB37" s="6893"/>
      <c r="CC37" s="6893"/>
      <c r="CD37" s="6893"/>
      <c r="CE37" s="6893"/>
      <c r="CF37" s="6894"/>
      <c r="CG37" s="6894"/>
      <c r="CH37" s="6895"/>
      <c r="CI37" s="6896" t="s">
        <v>469</v>
      </c>
      <c r="CJ37" s="6892" t="s">
        <v>468</v>
      </c>
      <c r="CK37" s="6893"/>
      <c r="CL37" s="6893"/>
      <c r="CM37" s="6893"/>
      <c r="CN37" s="6893"/>
      <c r="CO37" s="6893"/>
      <c r="CP37" s="6893"/>
      <c r="CQ37" s="6894"/>
      <c r="CR37" s="6894"/>
      <c r="CS37" s="6895"/>
      <c r="CT37" s="6896" t="s">
        <v>469</v>
      </c>
      <c r="CU37" s="6892" t="s">
        <v>468</v>
      </c>
      <c r="CV37" s="6893"/>
      <c r="CW37" s="6893"/>
      <c r="CX37" s="6893"/>
      <c r="CY37" s="6893"/>
      <c r="CZ37" s="6893"/>
      <c r="DA37" s="6893"/>
      <c r="DB37" s="6894"/>
      <c r="DC37" s="6894"/>
      <c r="DD37" s="6895"/>
      <c r="DE37" s="6896" t="s">
        <v>469</v>
      </c>
      <c r="DF37" s="6892" t="s">
        <v>468</v>
      </c>
      <c r="DG37" s="6893"/>
      <c r="DH37" s="6893"/>
      <c r="DI37" s="6893"/>
      <c r="DJ37" s="6893"/>
      <c r="DK37" s="6893"/>
      <c r="DL37" s="6893"/>
      <c r="DM37" s="6894"/>
      <c r="DN37" s="6894"/>
      <c r="DO37" s="6895"/>
      <c r="DP37" s="6896" t="s">
        <v>469</v>
      </c>
      <c r="DQ37" s="6892" t="s">
        <v>468</v>
      </c>
      <c r="DR37" s="6893"/>
      <c r="DS37" s="6893"/>
      <c r="DT37" s="6893"/>
      <c r="DU37" s="6893"/>
      <c r="DV37" s="6893"/>
      <c r="DW37" s="6893"/>
      <c r="DX37" s="6894"/>
      <c r="DY37" s="6894"/>
      <c r="DZ37" s="6895"/>
      <c r="EA37" s="6896" t="s">
        <v>469</v>
      </c>
      <c r="EB37" s="19256" t="s">
        <v>468</v>
      </c>
      <c r="EC37" s="19257"/>
      <c r="ED37" s="19257"/>
      <c r="EE37" s="19257"/>
      <c r="EF37" s="19257"/>
      <c r="EG37" s="19257"/>
      <c r="EH37" s="19257"/>
      <c r="EI37" s="19258"/>
      <c r="EJ37" s="19258"/>
      <c r="EK37" s="19259"/>
      <c r="EL37" s="19260" t="s">
        <v>469</v>
      </c>
      <c r="EM37" s="19256" t="s">
        <v>468</v>
      </c>
      <c r="EN37" s="19257"/>
      <c r="EO37" s="19257"/>
      <c r="EP37" s="19257"/>
      <c r="EQ37" s="19257"/>
      <c r="ER37" s="19257"/>
      <c r="ES37" s="19257"/>
      <c r="ET37" s="19258"/>
      <c r="EU37" s="19258"/>
      <c r="EV37" s="19259"/>
      <c r="EW37" s="19260" t="s">
        <v>469</v>
      </c>
      <c r="EX37" s="2552" t="s">
        <v>471</v>
      </c>
      <c r="EY37" s="2392"/>
    </row>
    <row customHeight="1" ht="18.75">
      <c r="Q38" s="737"/>
      <c r="R38" s="737"/>
      <c r="S38" s="2545"/>
      <c r="T38" s="2482"/>
      <c r="U38" s="1393"/>
      <c r="V38" s="2632" t="s">
        <v>571</v>
      </c>
      <c r="W38" s="2631" t="s">
        <v>572</v>
      </c>
      <c r="X38" s="2631"/>
      <c r="Y38" s="2631"/>
      <c r="Z38" s="2631" t="s">
        <v>573</v>
      </c>
      <c r="AA38" s="2631"/>
      <c r="AB38" s="2631"/>
      <c r="AC38" s="2566" t="s">
        <v>475</v>
      </c>
      <c r="AD38" s="2584"/>
      <c r="AE38" s="2585"/>
      <c r="AF38" s="2550"/>
      <c r="AG38" s="2632" t="s">
        <v>571</v>
      </c>
      <c r="AH38" s="2631" t="s">
        <v>572</v>
      </c>
      <c r="AI38" s="2631"/>
      <c r="AJ38" s="2631"/>
      <c r="AK38" s="2631" t="s">
        <v>573</v>
      </c>
      <c r="AL38" s="2631"/>
      <c r="AM38" s="2631"/>
      <c r="AN38" s="2566" t="s">
        <v>475</v>
      </c>
      <c r="AO38" s="2584"/>
      <c r="AP38" s="2585"/>
      <c r="AQ38" s="2550"/>
      <c r="AR38" s="6891" t="s">
        <v>571</v>
      </c>
      <c r="AS38" s="6899" t="s">
        <v>572</v>
      </c>
      <c r="AT38" s="6899"/>
      <c r="AU38" s="6899"/>
      <c r="AV38" s="6899" t="s">
        <v>573</v>
      </c>
      <c r="AW38" s="6899"/>
      <c r="AX38" s="6899"/>
      <c r="AY38" s="6900" t="s">
        <v>475</v>
      </c>
      <c r="AZ38" s="6901"/>
      <c r="BA38" s="6902"/>
      <c r="BB38" s="6903"/>
      <c r="BC38" s="6891" t="s">
        <v>571</v>
      </c>
      <c r="BD38" s="6899" t="s">
        <v>572</v>
      </c>
      <c r="BE38" s="6899"/>
      <c r="BF38" s="6899"/>
      <c r="BG38" s="6899" t="s">
        <v>573</v>
      </c>
      <c r="BH38" s="6899"/>
      <c r="BI38" s="6899"/>
      <c r="BJ38" s="6900" t="s">
        <v>475</v>
      </c>
      <c r="BK38" s="6901"/>
      <c r="BL38" s="6902"/>
      <c r="BM38" s="6903"/>
      <c r="BN38" s="6891" t="s">
        <v>571</v>
      </c>
      <c r="BO38" s="6899" t="s">
        <v>572</v>
      </c>
      <c r="BP38" s="6899"/>
      <c r="BQ38" s="6899"/>
      <c r="BR38" s="6899" t="s">
        <v>573</v>
      </c>
      <c r="BS38" s="6899"/>
      <c r="BT38" s="6899"/>
      <c r="BU38" s="6900" t="s">
        <v>475</v>
      </c>
      <c r="BV38" s="6901"/>
      <c r="BW38" s="6902"/>
      <c r="BX38" s="6903"/>
      <c r="BY38" s="6891" t="s">
        <v>571</v>
      </c>
      <c r="BZ38" s="6899" t="s">
        <v>572</v>
      </c>
      <c r="CA38" s="6899"/>
      <c r="CB38" s="6899"/>
      <c r="CC38" s="6899" t="s">
        <v>573</v>
      </c>
      <c r="CD38" s="6899"/>
      <c r="CE38" s="6899"/>
      <c r="CF38" s="6900" t="s">
        <v>475</v>
      </c>
      <c r="CG38" s="6901"/>
      <c r="CH38" s="6902"/>
      <c r="CI38" s="6903"/>
      <c r="CJ38" s="6891" t="s">
        <v>571</v>
      </c>
      <c r="CK38" s="6899" t="s">
        <v>572</v>
      </c>
      <c r="CL38" s="6899"/>
      <c r="CM38" s="6899"/>
      <c r="CN38" s="6899" t="s">
        <v>573</v>
      </c>
      <c r="CO38" s="6899"/>
      <c r="CP38" s="6899"/>
      <c r="CQ38" s="6900" t="s">
        <v>475</v>
      </c>
      <c r="CR38" s="6901"/>
      <c r="CS38" s="6902"/>
      <c r="CT38" s="6903"/>
      <c r="CU38" s="6891" t="s">
        <v>571</v>
      </c>
      <c r="CV38" s="6899" t="s">
        <v>572</v>
      </c>
      <c r="CW38" s="6899"/>
      <c r="CX38" s="6899"/>
      <c r="CY38" s="6899" t="s">
        <v>573</v>
      </c>
      <c r="CZ38" s="6899"/>
      <c r="DA38" s="6899"/>
      <c r="DB38" s="6900" t="s">
        <v>475</v>
      </c>
      <c r="DC38" s="6901"/>
      <c r="DD38" s="6902"/>
      <c r="DE38" s="6903"/>
      <c r="DF38" s="6891" t="s">
        <v>571</v>
      </c>
      <c r="DG38" s="6899" t="s">
        <v>572</v>
      </c>
      <c r="DH38" s="6899"/>
      <c r="DI38" s="6899"/>
      <c r="DJ38" s="6899" t="s">
        <v>573</v>
      </c>
      <c r="DK38" s="6899"/>
      <c r="DL38" s="6899"/>
      <c r="DM38" s="6900" t="s">
        <v>475</v>
      </c>
      <c r="DN38" s="6901"/>
      <c r="DO38" s="6902"/>
      <c r="DP38" s="6903"/>
      <c r="DQ38" s="6891" t="s">
        <v>571</v>
      </c>
      <c r="DR38" s="6899" t="s">
        <v>572</v>
      </c>
      <c r="DS38" s="6899"/>
      <c r="DT38" s="6899"/>
      <c r="DU38" s="6899" t="s">
        <v>573</v>
      </c>
      <c r="DV38" s="6899"/>
      <c r="DW38" s="6899"/>
      <c r="DX38" s="6900" t="s">
        <v>475</v>
      </c>
      <c r="DY38" s="6901"/>
      <c r="DZ38" s="6902"/>
      <c r="EA38" s="6903"/>
      <c r="EB38" s="19250" t="s">
        <v>571</v>
      </c>
      <c r="EC38" s="19268" t="s">
        <v>572</v>
      </c>
      <c r="ED38" s="19268"/>
      <c r="EE38" s="19268"/>
      <c r="EF38" s="19268" t="s">
        <v>573</v>
      </c>
      <c r="EG38" s="19268"/>
      <c r="EH38" s="19268"/>
      <c r="EI38" s="19269" t="s">
        <v>475</v>
      </c>
      <c r="EJ38" s="19270"/>
      <c r="EK38" s="19271"/>
      <c r="EL38" s="19272"/>
      <c r="EM38" s="19250" t="s">
        <v>571</v>
      </c>
      <c r="EN38" s="19268" t="s">
        <v>572</v>
      </c>
      <c r="EO38" s="19268"/>
      <c r="EP38" s="19268"/>
      <c r="EQ38" s="19268" t="s">
        <v>573</v>
      </c>
      <c r="ER38" s="19268"/>
      <c r="ES38" s="19268"/>
      <c r="ET38" s="19269" t="s">
        <v>475</v>
      </c>
      <c r="EU38" s="19270"/>
      <c r="EV38" s="19271"/>
      <c r="EW38" s="19272"/>
      <c r="EX38" s="2553"/>
      <c r="EY38" s="2392"/>
    </row>
    <row s="32343" customFormat="1" customHeight="1" ht="18.75">
      <c r="A39" s="1732"/>
      <c r="B39" s="1732"/>
      <c r="C39" s="1732"/>
      <c r="D39" s="1732"/>
      <c r="E39" s="1732"/>
      <c r="F39" s="1732"/>
      <c r="G39" s="1732"/>
      <c r="H39" s="1732"/>
      <c r="I39" s="1732"/>
      <c r="J39" s="1732"/>
      <c r="K39" s="1732"/>
      <c r="L39" s="2318"/>
      <c r="M39" s="1728"/>
      <c r="N39" s="1728"/>
      <c r="O39" s="1728"/>
      <c r="P39" s="2332"/>
      <c r="Q39" s="737"/>
      <c r="R39" s="737"/>
      <c r="S39" s="2545"/>
      <c r="T39" s="2482"/>
      <c r="U39" s="1393"/>
      <c r="V39" s="2632"/>
      <c r="W39" s="2631" t="s">
        <v>574</v>
      </c>
      <c r="X39" s="2631" t="s">
        <v>575</v>
      </c>
      <c r="Y39" s="2631"/>
      <c r="Z39" s="2631" t="s">
        <v>576</v>
      </c>
      <c r="AA39" s="2631" t="s">
        <v>575</v>
      </c>
      <c r="AB39" s="2631"/>
      <c r="AC39" s="2567"/>
      <c r="AD39" s="2586"/>
      <c r="AE39" s="2587"/>
      <c r="AF39" s="2550"/>
      <c r="AG39" s="2632"/>
      <c r="AH39" s="2631" t="s">
        <v>574</v>
      </c>
      <c r="AI39" s="2631" t="s">
        <v>575</v>
      </c>
      <c r="AJ39" s="2631"/>
      <c r="AK39" s="2631" t="s">
        <v>576</v>
      </c>
      <c r="AL39" s="2631" t="s">
        <v>575</v>
      </c>
      <c r="AM39" s="2631"/>
      <c r="AN39" s="2567"/>
      <c r="AO39" s="2586"/>
      <c r="AP39" s="2587"/>
      <c r="AQ39" s="2550"/>
      <c r="AR39" s="6891"/>
      <c r="AS39" s="6899" t="s">
        <v>574</v>
      </c>
      <c r="AT39" s="6899" t="s">
        <v>575</v>
      </c>
      <c r="AU39" s="6899"/>
      <c r="AV39" s="6899" t="s">
        <v>576</v>
      </c>
      <c r="AW39" s="6899" t="s">
        <v>575</v>
      </c>
      <c r="AX39" s="6899"/>
      <c r="AY39" s="6905"/>
      <c r="AZ39" s="6906"/>
      <c r="BA39" s="6907"/>
      <c r="BB39" s="6903"/>
      <c r="BC39" s="6891"/>
      <c r="BD39" s="6899" t="s">
        <v>574</v>
      </c>
      <c r="BE39" s="6899" t="s">
        <v>575</v>
      </c>
      <c r="BF39" s="6899"/>
      <c r="BG39" s="6899" t="s">
        <v>576</v>
      </c>
      <c r="BH39" s="6899" t="s">
        <v>575</v>
      </c>
      <c r="BI39" s="6899"/>
      <c r="BJ39" s="6905"/>
      <c r="BK39" s="6906"/>
      <c r="BL39" s="6907"/>
      <c r="BM39" s="6903"/>
      <c r="BN39" s="6891"/>
      <c r="BO39" s="6899" t="s">
        <v>574</v>
      </c>
      <c r="BP39" s="6899" t="s">
        <v>575</v>
      </c>
      <c r="BQ39" s="6899"/>
      <c r="BR39" s="6899" t="s">
        <v>576</v>
      </c>
      <c r="BS39" s="6899" t="s">
        <v>575</v>
      </c>
      <c r="BT39" s="6899"/>
      <c r="BU39" s="6905"/>
      <c r="BV39" s="6906"/>
      <c r="BW39" s="6907"/>
      <c r="BX39" s="6903"/>
      <c r="BY39" s="6891"/>
      <c r="BZ39" s="6899" t="s">
        <v>574</v>
      </c>
      <c r="CA39" s="6899" t="s">
        <v>575</v>
      </c>
      <c r="CB39" s="6899"/>
      <c r="CC39" s="6899" t="s">
        <v>576</v>
      </c>
      <c r="CD39" s="6899" t="s">
        <v>575</v>
      </c>
      <c r="CE39" s="6899"/>
      <c r="CF39" s="6905"/>
      <c r="CG39" s="6906"/>
      <c r="CH39" s="6907"/>
      <c r="CI39" s="6903"/>
      <c r="CJ39" s="6891"/>
      <c r="CK39" s="6899" t="s">
        <v>574</v>
      </c>
      <c r="CL39" s="6899" t="s">
        <v>575</v>
      </c>
      <c r="CM39" s="6899"/>
      <c r="CN39" s="6899" t="s">
        <v>576</v>
      </c>
      <c r="CO39" s="6899" t="s">
        <v>575</v>
      </c>
      <c r="CP39" s="6899"/>
      <c r="CQ39" s="6905"/>
      <c r="CR39" s="6906"/>
      <c r="CS39" s="6907"/>
      <c r="CT39" s="6903"/>
      <c r="CU39" s="6891"/>
      <c r="CV39" s="6899" t="s">
        <v>574</v>
      </c>
      <c r="CW39" s="6899" t="s">
        <v>575</v>
      </c>
      <c r="CX39" s="6899"/>
      <c r="CY39" s="6899" t="s">
        <v>576</v>
      </c>
      <c r="CZ39" s="6899" t="s">
        <v>575</v>
      </c>
      <c r="DA39" s="6899"/>
      <c r="DB39" s="6905"/>
      <c r="DC39" s="6906"/>
      <c r="DD39" s="6907"/>
      <c r="DE39" s="6903"/>
      <c r="DF39" s="6891"/>
      <c r="DG39" s="6899" t="s">
        <v>574</v>
      </c>
      <c r="DH39" s="6899" t="s">
        <v>575</v>
      </c>
      <c r="DI39" s="6899"/>
      <c r="DJ39" s="6899" t="s">
        <v>576</v>
      </c>
      <c r="DK39" s="6899" t="s">
        <v>575</v>
      </c>
      <c r="DL39" s="6899"/>
      <c r="DM39" s="6905"/>
      <c r="DN39" s="6906"/>
      <c r="DO39" s="6907"/>
      <c r="DP39" s="6903"/>
      <c r="DQ39" s="6891"/>
      <c r="DR39" s="6899" t="s">
        <v>574</v>
      </c>
      <c r="DS39" s="6899" t="s">
        <v>575</v>
      </c>
      <c r="DT39" s="6899"/>
      <c r="DU39" s="6899" t="s">
        <v>576</v>
      </c>
      <c r="DV39" s="6899" t="s">
        <v>575</v>
      </c>
      <c r="DW39" s="6899"/>
      <c r="DX39" s="6905"/>
      <c r="DY39" s="6906"/>
      <c r="DZ39" s="6907"/>
      <c r="EA39" s="6903"/>
      <c r="EB39" s="19250"/>
      <c r="EC39" s="19268" t="s">
        <v>574</v>
      </c>
      <c r="ED39" s="19268" t="s">
        <v>575</v>
      </c>
      <c r="EE39" s="19268"/>
      <c r="EF39" s="19268" t="s">
        <v>576</v>
      </c>
      <c r="EG39" s="19268" t="s">
        <v>575</v>
      </c>
      <c r="EH39" s="19268"/>
      <c r="EI39" s="19277"/>
      <c r="EJ39" s="19278"/>
      <c r="EK39" s="19279"/>
      <c r="EL39" s="19272"/>
      <c r="EM39" s="19250"/>
      <c r="EN39" s="19268" t="s">
        <v>574</v>
      </c>
      <c r="EO39" s="19268" t="s">
        <v>575</v>
      </c>
      <c r="EP39" s="19268"/>
      <c r="EQ39" s="19268" t="s">
        <v>576</v>
      </c>
      <c r="ER39" s="19268" t="s">
        <v>575</v>
      </c>
      <c r="ES39" s="19268"/>
      <c r="ET39" s="19277"/>
      <c r="EU39" s="19278"/>
      <c r="EV39" s="19279"/>
      <c r="EW39" s="19272"/>
      <c r="EX39" s="2553"/>
      <c r="EY39" s="2392"/>
      <c r="EZ39" s="2002"/>
      <c r="FA39" s="2002"/>
      <c r="FB39" s="2002"/>
      <c r="FC39" s="2002"/>
      <c r="FD39" s="2002"/>
    </row>
    <row customHeight="1" ht="59.25">
      <c r="A40" s="1736"/>
      <c r="B40" s="1736" t="s">
        <v>143</v>
      </c>
      <c r="C40" s="1736" t="s">
        <v>144</v>
      </c>
      <c r="D40" s="1736" t="s">
        <v>145</v>
      </c>
      <c r="E40" s="1730" t="s">
        <v>476</v>
      </c>
      <c r="F40" s="1730" t="s">
        <v>477</v>
      </c>
      <c r="G40" s="1730" t="s">
        <v>478</v>
      </c>
      <c r="H40" s="1730"/>
      <c r="I40" s="1730" t="s">
        <v>529</v>
      </c>
      <c r="J40" s="1730" t="s">
        <v>481</v>
      </c>
      <c r="K40" s="1730" t="s">
        <v>530</v>
      </c>
      <c r="L40" s="1730" t="s">
        <v>457</v>
      </c>
      <c r="Q40" s="737"/>
      <c r="R40" s="737"/>
      <c r="S40" s="2545"/>
      <c r="T40" s="2482"/>
      <c r="U40" s="663"/>
      <c r="V40" s="2632"/>
      <c r="W40" s="2631"/>
      <c r="X40" s="2351" t="s">
        <v>577</v>
      </c>
      <c r="Y40" s="2351" t="s">
        <v>578</v>
      </c>
      <c r="Z40" s="2631"/>
      <c r="AA40" s="2351" t="s">
        <v>579</v>
      </c>
      <c r="AB40" s="2351" t="s">
        <v>580</v>
      </c>
      <c r="AC40" s="1855" t="s">
        <v>485</v>
      </c>
      <c r="AD40" s="2541" t="s">
        <v>486</v>
      </c>
      <c r="AE40" s="2542"/>
      <c r="AF40" s="2551"/>
      <c r="AG40" s="2632"/>
      <c r="AH40" s="2631"/>
      <c r="AI40" s="2351" t="s">
        <v>577</v>
      </c>
      <c r="AJ40" s="2351" t="s">
        <v>578</v>
      </c>
      <c r="AK40" s="2631"/>
      <c r="AL40" s="2351" t="s">
        <v>579</v>
      </c>
      <c r="AM40" s="2351" t="s">
        <v>580</v>
      </c>
      <c r="AN40" s="1855" t="s">
        <v>485</v>
      </c>
      <c r="AO40" s="2541" t="s">
        <v>486</v>
      </c>
      <c r="AP40" s="2542"/>
      <c r="AQ40" s="2551"/>
      <c r="AR40" s="6891"/>
      <c r="AS40" s="6899"/>
      <c r="AT40" s="6899" t="s">
        <v>577</v>
      </c>
      <c r="AU40" s="6899" t="s">
        <v>578</v>
      </c>
      <c r="AV40" s="6899"/>
      <c r="AW40" s="6899" t="s">
        <v>579</v>
      </c>
      <c r="AX40" s="6899" t="s">
        <v>580</v>
      </c>
      <c r="AY40" s="6909" t="s">
        <v>485</v>
      </c>
      <c r="AZ40" s="6910" t="s">
        <v>486</v>
      </c>
      <c r="BA40" s="6911"/>
      <c r="BB40" s="6912"/>
      <c r="BC40" s="6891"/>
      <c r="BD40" s="6899"/>
      <c r="BE40" s="6899" t="s">
        <v>577</v>
      </c>
      <c r="BF40" s="6899" t="s">
        <v>578</v>
      </c>
      <c r="BG40" s="6899"/>
      <c r="BH40" s="6899" t="s">
        <v>579</v>
      </c>
      <c r="BI40" s="6899" t="s">
        <v>580</v>
      </c>
      <c r="BJ40" s="6909" t="s">
        <v>485</v>
      </c>
      <c r="BK40" s="6910" t="s">
        <v>486</v>
      </c>
      <c r="BL40" s="6911"/>
      <c r="BM40" s="6912"/>
      <c r="BN40" s="6891"/>
      <c r="BO40" s="6899"/>
      <c r="BP40" s="6899" t="s">
        <v>577</v>
      </c>
      <c r="BQ40" s="6899" t="s">
        <v>578</v>
      </c>
      <c r="BR40" s="6899"/>
      <c r="BS40" s="6899" t="s">
        <v>579</v>
      </c>
      <c r="BT40" s="6899" t="s">
        <v>580</v>
      </c>
      <c r="BU40" s="6909" t="s">
        <v>485</v>
      </c>
      <c r="BV40" s="6910" t="s">
        <v>486</v>
      </c>
      <c r="BW40" s="6911"/>
      <c r="BX40" s="6912"/>
      <c r="BY40" s="6891"/>
      <c r="BZ40" s="6899"/>
      <c r="CA40" s="6899" t="s">
        <v>577</v>
      </c>
      <c r="CB40" s="6899" t="s">
        <v>578</v>
      </c>
      <c r="CC40" s="6899"/>
      <c r="CD40" s="6899" t="s">
        <v>579</v>
      </c>
      <c r="CE40" s="6899" t="s">
        <v>580</v>
      </c>
      <c r="CF40" s="6909" t="s">
        <v>485</v>
      </c>
      <c r="CG40" s="6910" t="s">
        <v>486</v>
      </c>
      <c r="CH40" s="6911"/>
      <c r="CI40" s="6912"/>
      <c r="CJ40" s="6891"/>
      <c r="CK40" s="6899"/>
      <c r="CL40" s="6899" t="s">
        <v>577</v>
      </c>
      <c r="CM40" s="6899" t="s">
        <v>578</v>
      </c>
      <c r="CN40" s="6899"/>
      <c r="CO40" s="6899" t="s">
        <v>579</v>
      </c>
      <c r="CP40" s="6899" t="s">
        <v>580</v>
      </c>
      <c r="CQ40" s="6909" t="s">
        <v>485</v>
      </c>
      <c r="CR40" s="6910" t="s">
        <v>486</v>
      </c>
      <c r="CS40" s="6911"/>
      <c r="CT40" s="6912"/>
      <c r="CU40" s="6891"/>
      <c r="CV40" s="6899"/>
      <c r="CW40" s="6899" t="s">
        <v>577</v>
      </c>
      <c r="CX40" s="6899" t="s">
        <v>578</v>
      </c>
      <c r="CY40" s="6899"/>
      <c r="CZ40" s="6899" t="s">
        <v>579</v>
      </c>
      <c r="DA40" s="6899" t="s">
        <v>580</v>
      </c>
      <c r="DB40" s="6909" t="s">
        <v>485</v>
      </c>
      <c r="DC40" s="6910" t="s">
        <v>486</v>
      </c>
      <c r="DD40" s="6911"/>
      <c r="DE40" s="6912"/>
      <c r="DF40" s="6891"/>
      <c r="DG40" s="6899"/>
      <c r="DH40" s="6899" t="s">
        <v>577</v>
      </c>
      <c r="DI40" s="6899" t="s">
        <v>578</v>
      </c>
      <c r="DJ40" s="6899"/>
      <c r="DK40" s="6899" t="s">
        <v>579</v>
      </c>
      <c r="DL40" s="6899" t="s">
        <v>580</v>
      </c>
      <c r="DM40" s="6909" t="s">
        <v>485</v>
      </c>
      <c r="DN40" s="6910" t="s">
        <v>486</v>
      </c>
      <c r="DO40" s="6911"/>
      <c r="DP40" s="6912"/>
      <c r="DQ40" s="6891"/>
      <c r="DR40" s="6899"/>
      <c r="DS40" s="6899" t="s">
        <v>577</v>
      </c>
      <c r="DT40" s="6899" t="s">
        <v>578</v>
      </c>
      <c r="DU40" s="6899"/>
      <c r="DV40" s="6899" t="s">
        <v>579</v>
      </c>
      <c r="DW40" s="6899" t="s">
        <v>580</v>
      </c>
      <c r="DX40" s="6909" t="s">
        <v>485</v>
      </c>
      <c r="DY40" s="6910" t="s">
        <v>486</v>
      </c>
      <c r="DZ40" s="6911"/>
      <c r="EA40" s="6912"/>
      <c r="EB40" s="19250"/>
      <c r="EC40" s="19268"/>
      <c r="ED40" s="19268" t="s">
        <v>577</v>
      </c>
      <c r="EE40" s="19268" t="s">
        <v>578</v>
      </c>
      <c r="EF40" s="19268"/>
      <c r="EG40" s="19268" t="s">
        <v>579</v>
      </c>
      <c r="EH40" s="19268" t="s">
        <v>580</v>
      </c>
      <c r="EI40" s="19285" t="s">
        <v>485</v>
      </c>
      <c r="EJ40" s="19286" t="s">
        <v>486</v>
      </c>
      <c r="EK40" s="19287"/>
      <c r="EL40" s="19288"/>
      <c r="EM40" s="19250"/>
      <c r="EN40" s="19268"/>
      <c r="EO40" s="19268" t="s">
        <v>577</v>
      </c>
      <c r="EP40" s="19268" t="s">
        <v>578</v>
      </c>
      <c r="EQ40" s="19268"/>
      <c r="ER40" s="19268" t="s">
        <v>579</v>
      </c>
      <c r="ES40" s="19268" t="s">
        <v>580</v>
      </c>
      <c r="ET40" s="19285" t="s">
        <v>485</v>
      </c>
      <c r="EU40" s="19286" t="s">
        <v>486</v>
      </c>
      <c r="EV40" s="19287"/>
      <c r="EW40" s="19288"/>
      <c r="EX40" s="2554"/>
      <c r="EY40" s="2392"/>
    </row>
    <row s="32049" customFormat="1" customHeight="1" ht="11.25" hidden="1">
      <c r="A41" s="1736"/>
      <c r="B41" s="1736"/>
      <c r="C41" s="1736"/>
      <c r="D41" s="1736"/>
      <c r="E41" s="1736"/>
      <c r="F41" s="1736"/>
      <c r="G41" s="1736"/>
      <c r="H41" s="1736"/>
      <c r="I41" s="1736"/>
      <c r="J41" s="1736"/>
      <c r="K41" s="1736"/>
      <c r="L41" s="1730"/>
      <c r="M41" s="1728"/>
      <c r="N41" s="1728"/>
      <c r="O41" s="1728"/>
      <c r="P41" s="1611"/>
      <c r="Q41" s="1612"/>
      <c r="R41" s="1619">
        <v>1</v>
      </c>
      <c r="S41" s="1643" t="s">
        <v>118</v>
      </c>
      <c r="T41" s="1620" t="s">
        <v>102</v>
      </c>
      <c r="U41" s="1610" t="str">
        <f>OFFSET(U41,0,-1)</f>
        <v>2</v>
      </c>
      <c r="V41" s="1848">
        <f>OFFSET(V41,0,-1)+1</f>
        <v>3</v>
      </c>
      <c r="W41" s="1707"/>
      <c r="X41" s="1707"/>
      <c r="Y41" s="1707"/>
      <c r="Z41" s="1707"/>
      <c r="AA41" s="1707"/>
      <c r="AB41" s="1707"/>
      <c r="AC41" s="1848">
        <f>OFFSET(AC41,0,-1)+1</f>
        <v>1</v>
      </c>
      <c r="AD41" s="2543">
        <f>OFFSET(AD41,0,-1)+1</f>
        <v>2</v>
      </c>
      <c r="AE41" s="2543"/>
      <c r="AF41" s="1848">
        <f>OFFSET(AF41,0,-2)+1</f>
        <v>3</v>
      </c>
      <c r="AG41" s="1848">
        <f>OFFSET(AG41,0,-1)+1</f>
        <v>4</v>
      </c>
      <c r="AH41" s="2323"/>
      <c r="AI41" s="2323"/>
      <c r="AJ41" s="2323"/>
      <c r="AK41" s="2323"/>
      <c r="AL41" s="2323"/>
      <c r="AM41" s="1848">
        <f>OFFSET(AM41,0,-1)+1</f>
        <v>1</v>
      </c>
      <c r="AN41" s="1848">
        <f>OFFSET(AN41,0,-1)+1</f>
        <v>2</v>
      </c>
      <c r="AO41" s="2543">
        <f>OFFSET(AO41,0,-1)+1</f>
        <v>3</v>
      </c>
      <c r="AP41" s="2543"/>
      <c r="AQ41" s="1848">
        <f>OFFSET(AQ41,0,-2)+1</f>
        <v>4</v>
      </c>
      <c r="AR41" s="6913">
        <f>OFFSET(AR41,0,-1)+1</f>
        <v>3</v>
      </c>
      <c r="AS41" s="6914"/>
      <c r="AT41" s="6914"/>
      <c r="AU41" s="6914"/>
      <c r="AV41" s="6914"/>
      <c r="AW41" s="6914"/>
      <c r="AX41" s="6914"/>
      <c r="AY41" s="6913">
        <f>OFFSET(AY41,0,-1)+1</f>
        <v>1</v>
      </c>
      <c r="AZ41" s="6913">
        <f>OFFSET(AZ41,0,-1)+1</f>
        <v>2</v>
      </c>
      <c r="BA41" s="6913"/>
      <c r="BB41" s="6913">
        <f>OFFSET(BB41,0,-2)+1</f>
        <v>3</v>
      </c>
      <c r="BC41" s="6913">
        <f>OFFSET(BC41,0,-1)+1</f>
        <v>3</v>
      </c>
      <c r="BD41" s="6914"/>
      <c r="BE41" s="6914"/>
      <c r="BF41" s="6914"/>
      <c r="BG41" s="6914"/>
      <c r="BH41" s="6914"/>
      <c r="BI41" s="6914"/>
      <c r="BJ41" s="6913">
        <f>OFFSET(BJ41,0,-1)+1</f>
        <v>1</v>
      </c>
      <c r="BK41" s="6913">
        <f>OFFSET(BK41,0,-1)+1</f>
        <v>2</v>
      </c>
      <c r="BL41" s="6913"/>
      <c r="BM41" s="6913">
        <f>OFFSET(BM41,0,-2)+1</f>
        <v>3</v>
      </c>
      <c r="BN41" s="6913">
        <f>OFFSET(BN41,0,-1)+1</f>
        <v>3</v>
      </c>
      <c r="BO41" s="6914"/>
      <c r="BP41" s="6914"/>
      <c r="BQ41" s="6914"/>
      <c r="BR41" s="6914"/>
      <c r="BS41" s="6914"/>
      <c r="BT41" s="6914"/>
      <c r="BU41" s="6913">
        <f>OFFSET(BU41,0,-1)+1</f>
        <v>1</v>
      </c>
      <c r="BV41" s="6913">
        <f>OFFSET(BV41,0,-1)+1</f>
        <v>2</v>
      </c>
      <c r="BW41" s="6913"/>
      <c r="BX41" s="6913">
        <f>OFFSET(BX41,0,-2)+1</f>
        <v>3</v>
      </c>
      <c r="BY41" s="6913">
        <f>OFFSET(BY41,0,-1)+1</f>
        <v>3</v>
      </c>
      <c r="BZ41" s="6914"/>
      <c r="CA41" s="6914"/>
      <c r="CB41" s="6914"/>
      <c r="CC41" s="6914"/>
      <c r="CD41" s="6914"/>
      <c r="CE41" s="6914"/>
      <c r="CF41" s="6913">
        <f>OFFSET(CF41,0,-1)+1</f>
        <v>1</v>
      </c>
      <c r="CG41" s="6913">
        <f>OFFSET(CG41,0,-1)+1</f>
        <v>2</v>
      </c>
      <c r="CH41" s="6913"/>
      <c r="CI41" s="6913">
        <f>OFFSET(CI41,0,-2)+1</f>
        <v>3</v>
      </c>
      <c r="CJ41" s="6913">
        <f>OFFSET(CJ41,0,-1)+1</f>
        <v>3</v>
      </c>
      <c r="CK41" s="6914"/>
      <c r="CL41" s="6914"/>
      <c r="CM41" s="6914"/>
      <c r="CN41" s="6914"/>
      <c r="CO41" s="6914"/>
      <c r="CP41" s="6914"/>
      <c r="CQ41" s="6913">
        <f>OFFSET(CQ41,0,-1)+1</f>
        <v>1</v>
      </c>
      <c r="CR41" s="6913">
        <f>OFFSET(CR41,0,-1)+1</f>
        <v>2</v>
      </c>
      <c r="CS41" s="6913"/>
      <c r="CT41" s="6913">
        <f>OFFSET(CT41,0,-2)+1</f>
        <v>3</v>
      </c>
      <c r="CU41" s="6913">
        <f>OFFSET(CU41,0,-1)+1</f>
        <v>3</v>
      </c>
      <c r="CV41" s="6914"/>
      <c r="CW41" s="6914"/>
      <c r="CX41" s="6914"/>
      <c r="CY41" s="6914"/>
      <c r="CZ41" s="6914"/>
      <c r="DA41" s="6914"/>
      <c r="DB41" s="6913">
        <f>OFFSET(DB41,0,-1)+1</f>
        <v>1</v>
      </c>
      <c r="DC41" s="6913">
        <f>OFFSET(DC41,0,-1)+1</f>
        <v>2</v>
      </c>
      <c r="DD41" s="6913"/>
      <c r="DE41" s="6913">
        <f>OFFSET(DE41,0,-2)+1</f>
        <v>3</v>
      </c>
      <c r="DF41" s="6913">
        <f>OFFSET(DF41,0,-1)+1</f>
        <v>3</v>
      </c>
      <c r="DG41" s="6914"/>
      <c r="DH41" s="6914"/>
      <c r="DI41" s="6914"/>
      <c r="DJ41" s="6914"/>
      <c r="DK41" s="6914"/>
      <c r="DL41" s="6914"/>
      <c r="DM41" s="6913">
        <f>OFFSET(DM41,0,-1)+1</f>
        <v>1</v>
      </c>
      <c r="DN41" s="6913">
        <f>OFFSET(DN41,0,-1)+1</f>
        <v>2</v>
      </c>
      <c r="DO41" s="6913"/>
      <c r="DP41" s="6913">
        <f>OFFSET(DP41,0,-2)+1</f>
        <v>3</v>
      </c>
      <c r="DQ41" s="6913">
        <f>OFFSET(DQ41,0,-1)+1</f>
        <v>3</v>
      </c>
      <c r="DR41" s="6914"/>
      <c r="DS41" s="6914"/>
      <c r="DT41" s="6914"/>
      <c r="DU41" s="6914"/>
      <c r="DV41" s="6914"/>
      <c r="DW41" s="6914"/>
      <c r="DX41" s="6913">
        <f>OFFSET(DX41,0,-1)+1</f>
        <v>1</v>
      </c>
      <c r="DY41" s="6913">
        <f>OFFSET(DY41,0,-1)+1</f>
        <v>2</v>
      </c>
      <c r="DZ41" s="6913"/>
      <c r="EA41" s="6913">
        <f>OFFSET(EA41,0,-2)+1</f>
        <v>3</v>
      </c>
      <c r="EB41" s="19291">
        <f>OFFSET(EB41,0,-1)+1</f>
        <v>3</v>
      </c>
      <c r="EC41" s="19292"/>
      <c r="ED41" s="19292"/>
      <c r="EE41" s="19292"/>
      <c r="EF41" s="19292"/>
      <c r="EG41" s="19292"/>
      <c r="EH41" s="19292"/>
      <c r="EI41" s="19291">
        <f>OFFSET(EI41,0,-1)+1</f>
        <v>1</v>
      </c>
      <c r="EJ41" s="19291">
        <f>OFFSET(EJ41,0,-1)+1</f>
        <v>2</v>
      </c>
      <c r="EK41" s="19291"/>
      <c r="EL41" s="19291">
        <f>OFFSET(EL41,0,-2)+1</f>
        <v>3</v>
      </c>
      <c r="EM41" s="19291">
        <f>OFFSET(EM41,0,-1)+1</f>
        <v>3</v>
      </c>
      <c r="EN41" s="19292"/>
      <c r="EO41" s="19292"/>
      <c r="EP41" s="19292"/>
      <c r="EQ41" s="19292"/>
      <c r="ER41" s="19292"/>
      <c r="ES41" s="19292"/>
      <c r="ET41" s="19291">
        <f>OFFSET(ET41,0,-1)+1</f>
        <v>1</v>
      </c>
      <c r="EU41" s="19291">
        <f>OFFSET(EU41,0,-1)+1</f>
        <v>2</v>
      </c>
      <c r="EV41" s="19291"/>
      <c r="EW41" s="19291">
        <f>OFFSET(EW41,0,-2)+1</f>
        <v>3</v>
      </c>
      <c r="EX41" s="1610">
        <f>OFFSET(EX41,0,-1)</f>
        <v>4</v>
      </c>
      <c r="EY41" s="1848">
        <f>OFFSET(EY41,0,-1)+1</f>
        <v>5</v>
      </c>
      <c r="EZ41" s="872"/>
      <c r="FA41" s="872"/>
      <c r="FB41" s="872"/>
      <c r="FC41" s="872"/>
      <c r="FD41" s="872"/>
    </row>
    <row customHeight="1" ht="23.25">
      <c r="A42" s="1729" t="s">
        <v>259</v>
      </c>
      <c r="B42" s="1729"/>
      <c r="C42" s="1729"/>
      <c r="D42" s="1729"/>
      <c r="E42" s="2527">
        <v>1</v>
      </c>
      <c r="F42" s="1729"/>
      <c r="G42" s="1729"/>
      <c r="H42" s="1729"/>
      <c r="I42" s="1729"/>
      <c r="J42" s="1729"/>
      <c r="K42" s="1729"/>
      <c r="L42" s="1730"/>
      <c r="M42" s="1731"/>
      <c r="N42" s="1731"/>
      <c r="O42" s="1731"/>
      <c r="P42" s="722"/>
      <c r="Q42" s="721"/>
      <c r="R42" s="716"/>
      <c r="S42" s="1859">
        <f>INDEX(PT_DIFFERENTIATION_NUM_NTAR,MATCH(A42,PT_DIFFERENTIATION_NTAR_ID,0))</f>
        <v>1</v>
      </c>
      <c r="T42" s="659" t="s">
        <v>131</v>
      </c>
      <c r="U42" s="661"/>
      <c r="V42" s="2521"/>
      <c r="W42" s="2522"/>
      <c r="X42" s="2522"/>
      <c r="Y42" s="2522"/>
      <c r="Z42" s="2522"/>
      <c r="AA42" s="2522"/>
      <c r="AB42" s="2522"/>
      <c r="AC42" s="2522"/>
      <c r="AD42" s="2522"/>
      <c r="AE42" s="2522"/>
      <c r="AF42" s="2523"/>
      <c r="AG42" s="2521" t="str">
        <f>INDEX(PT_DIFFERENTIATION_NTAR,MATCH(A42,PT_DIFFERENTIATION_NTAR_ID,0))</f>
        <v>Тариф на горячую воду в закрытой системе горячего водоснабжения, поставляемую потребителям</v>
      </c>
      <c r="AH42" s="2522"/>
      <c r="AI42" s="2522"/>
      <c r="AJ42" s="2522"/>
      <c r="AK42" s="2522"/>
      <c r="AL42" s="2522"/>
      <c r="AM42" s="2522"/>
      <c r="AN42" s="2522"/>
      <c r="AO42" s="2522"/>
      <c r="AP42" s="2522"/>
      <c r="AQ42" s="2522"/>
      <c r="AR42" s="6602"/>
      <c r="AS42" s="6603"/>
      <c r="AT42" s="6603"/>
      <c r="AU42" s="6603"/>
      <c r="AV42" s="6603"/>
      <c r="AW42" s="6603"/>
      <c r="AX42" s="6603"/>
      <c r="AY42" s="6603"/>
      <c r="AZ42" s="6603"/>
      <c r="BA42" s="6603"/>
      <c r="BB42" s="6604"/>
      <c r="BC42" s="6602"/>
      <c r="BD42" s="6603"/>
      <c r="BE42" s="6603"/>
      <c r="BF42" s="6603"/>
      <c r="BG42" s="6603"/>
      <c r="BH42" s="6603"/>
      <c r="BI42" s="6603"/>
      <c r="BJ42" s="6603"/>
      <c r="BK42" s="6603"/>
      <c r="BL42" s="6603"/>
      <c r="BM42" s="6604"/>
      <c r="BN42" s="6602"/>
      <c r="BO42" s="6603"/>
      <c r="BP42" s="6603"/>
      <c r="BQ42" s="6603"/>
      <c r="BR42" s="6603"/>
      <c r="BS42" s="6603"/>
      <c r="BT42" s="6603"/>
      <c r="BU42" s="6603"/>
      <c r="BV42" s="6603"/>
      <c r="BW42" s="6603"/>
      <c r="BX42" s="6604"/>
      <c r="BY42" s="6602"/>
      <c r="BZ42" s="6603"/>
      <c r="CA42" s="6603"/>
      <c r="CB42" s="6603"/>
      <c r="CC42" s="6603"/>
      <c r="CD42" s="6603"/>
      <c r="CE42" s="6603"/>
      <c r="CF42" s="6603"/>
      <c r="CG42" s="6603"/>
      <c r="CH42" s="6603"/>
      <c r="CI42" s="6604"/>
      <c r="CJ42" s="6602"/>
      <c r="CK42" s="6603"/>
      <c r="CL42" s="6603"/>
      <c r="CM42" s="6603"/>
      <c r="CN42" s="6603"/>
      <c r="CO42" s="6603"/>
      <c r="CP42" s="6603"/>
      <c r="CQ42" s="6603"/>
      <c r="CR42" s="6603"/>
      <c r="CS42" s="6603"/>
      <c r="CT42" s="6604"/>
      <c r="CU42" s="6602"/>
      <c r="CV42" s="6603"/>
      <c r="CW42" s="6603"/>
      <c r="CX42" s="6603"/>
      <c r="CY42" s="6603"/>
      <c r="CZ42" s="6603"/>
      <c r="DA42" s="6603"/>
      <c r="DB42" s="6603"/>
      <c r="DC42" s="6603"/>
      <c r="DD42" s="6603"/>
      <c r="DE42" s="6604"/>
      <c r="DF42" s="6602"/>
      <c r="DG42" s="6603"/>
      <c r="DH42" s="6603"/>
      <c r="DI42" s="6603"/>
      <c r="DJ42" s="6603"/>
      <c r="DK42" s="6603"/>
      <c r="DL42" s="6603"/>
      <c r="DM42" s="6603"/>
      <c r="DN42" s="6603"/>
      <c r="DO42" s="6603"/>
      <c r="DP42" s="6604"/>
      <c r="DQ42" s="6602"/>
      <c r="DR42" s="6603"/>
      <c r="DS42" s="6603"/>
      <c r="DT42" s="6603"/>
      <c r="DU42" s="6603"/>
      <c r="DV42" s="6603"/>
      <c r="DW42" s="6603"/>
      <c r="DX42" s="6603"/>
      <c r="DY42" s="6603"/>
      <c r="DZ42" s="6603"/>
      <c r="EA42" s="6604"/>
      <c r="EB42" s="18872"/>
      <c r="EC42" s="18873"/>
      <c r="ED42" s="18873"/>
      <c r="EE42" s="18873"/>
      <c r="EF42" s="18873"/>
      <c r="EG42" s="18873"/>
      <c r="EH42" s="18873"/>
      <c r="EI42" s="18873"/>
      <c r="EJ42" s="18873"/>
      <c r="EK42" s="18873"/>
      <c r="EL42" s="18874"/>
      <c r="EM42" s="18872"/>
      <c r="EN42" s="18873"/>
      <c r="EO42" s="18873"/>
      <c r="EP42" s="18873"/>
      <c r="EQ42" s="18873"/>
      <c r="ER42" s="18873"/>
      <c r="ES42" s="18873"/>
      <c r="ET42" s="18873"/>
      <c r="EU42" s="18873"/>
      <c r="EV42" s="18873"/>
      <c r="EW42" s="18874"/>
      <c r="EX42" s="2523"/>
      <c r="EY42"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FA42" s="861"/>
      <c r="FB42" s="861" t="str">
        <f>IF(T42="","",T42)</f>
        <v>Наименование тарифа</v>
      </c>
      <c r="FC42" s="861"/>
      <c r="FD42" s="861"/>
    </row>
    <row customHeight="1" ht="23.25">
      <c r="A43" s="1729" t="s">
        <v>259</v>
      </c>
      <c r="B43" s="1729" t="s">
        <v>260</v>
      </c>
      <c r="C43" s="1729"/>
      <c r="D43" s="1729"/>
      <c r="E43" s="2528"/>
      <c r="F43" s="2527">
        <v>1</v>
      </c>
      <c r="G43" s="1729"/>
      <c r="H43" s="1729"/>
      <c r="I43" s="1729"/>
      <c r="J43" s="1729"/>
      <c r="K43" s="1729"/>
      <c r="L43" s="1730"/>
      <c r="M43" s="1731"/>
      <c r="N43" s="1731"/>
      <c r="O43" s="1731"/>
      <c r="P43" s="1853"/>
      <c r="Q43" s="713"/>
      <c r="R43" s="714"/>
      <c r="S43" s="1859" t="str">
        <f>INDEX(PT_DIFFERENTIATION_NUM_TER,MATCH(B43,PT_DIFFERENTIATION_TER_ID,0))</f>
        <v>1.1</v>
      </c>
      <c r="T43" s="669" t="s">
        <v>438</v>
      </c>
      <c r="U43" s="661"/>
      <c r="V43" s="2521"/>
      <c r="W43" s="2522"/>
      <c r="X43" s="2522"/>
      <c r="Y43" s="2522"/>
      <c r="Z43" s="2522"/>
      <c r="AA43" s="2522"/>
      <c r="AB43" s="2522"/>
      <c r="AC43" s="2522"/>
      <c r="AD43" s="2522"/>
      <c r="AE43" s="2522"/>
      <c r="AF43" s="2523"/>
      <c r="AG43" s="2521" t="str">
        <f>INDEX(PT_DIFFERENTIATION_TER,MATCH(B43,PT_DIFFERENTIATION_TER_ID,0))</f>
        <v>Территория 1</v>
      </c>
      <c r="AH43" s="2522"/>
      <c r="AI43" s="2522"/>
      <c r="AJ43" s="2522"/>
      <c r="AK43" s="2522"/>
      <c r="AL43" s="2522"/>
      <c r="AM43" s="2522"/>
      <c r="AN43" s="2522"/>
      <c r="AO43" s="2522"/>
      <c r="AP43" s="2522"/>
      <c r="AQ43" s="2522"/>
      <c r="AR43" s="6602"/>
      <c r="AS43" s="6603"/>
      <c r="AT43" s="6603"/>
      <c r="AU43" s="6603"/>
      <c r="AV43" s="6603"/>
      <c r="AW43" s="6603"/>
      <c r="AX43" s="6603"/>
      <c r="AY43" s="6603"/>
      <c r="AZ43" s="6603"/>
      <c r="BA43" s="6603"/>
      <c r="BB43" s="6604"/>
      <c r="BC43" s="6602"/>
      <c r="BD43" s="6603"/>
      <c r="BE43" s="6603"/>
      <c r="BF43" s="6603"/>
      <c r="BG43" s="6603"/>
      <c r="BH43" s="6603"/>
      <c r="BI43" s="6603"/>
      <c r="BJ43" s="6603"/>
      <c r="BK43" s="6603"/>
      <c r="BL43" s="6603"/>
      <c r="BM43" s="6604"/>
      <c r="BN43" s="6602"/>
      <c r="BO43" s="6603"/>
      <c r="BP43" s="6603"/>
      <c r="BQ43" s="6603"/>
      <c r="BR43" s="6603"/>
      <c r="BS43" s="6603"/>
      <c r="BT43" s="6603"/>
      <c r="BU43" s="6603"/>
      <c r="BV43" s="6603"/>
      <c r="BW43" s="6603"/>
      <c r="BX43" s="6604"/>
      <c r="BY43" s="6602"/>
      <c r="BZ43" s="6603"/>
      <c r="CA43" s="6603"/>
      <c r="CB43" s="6603"/>
      <c r="CC43" s="6603"/>
      <c r="CD43" s="6603"/>
      <c r="CE43" s="6603"/>
      <c r="CF43" s="6603"/>
      <c r="CG43" s="6603"/>
      <c r="CH43" s="6603"/>
      <c r="CI43" s="6604"/>
      <c r="CJ43" s="6602"/>
      <c r="CK43" s="6603"/>
      <c r="CL43" s="6603"/>
      <c r="CM43" s="6603"/>
      <c r="CN43" s="6603"/>
      <c r="CO43" s="6603"/>
      <c r="CP43" s="6603"/>
      <c r="CQ43" s="6603"/>
      <c r="CR43" s="6603"/>
      <c r="CS43" s="6603"/>
      <c r="CT43" s="6604"/>
      <c r="CU43" s="6602"/>
      <c r="CV43" s="6603"/>
      <c r="CW43" s="6603"/>
      <c r="CX43" s="6603"/>
      <c r="CY43" s="6603"/>
      <c r="CZ43" s="6603"/>
      <c r="DA43" s="6603"/>
      <c r="DB43" s="6603"/>
      <c r="DC43" s="6603"/>
      <c r="DD43" s="6603"/>
      <c r="DE43" s="6604"/>
      <c r="DF43" s="6602"/>
      <c r="DG43" s="6603"/>
      <c r="DH43" s="6603"/>
      <c r="DI43" s="6603"/>
      <c r="DJ43" s="6603"/>
      <c r="DK43" s="6603"/>
      <c r="DL43" s="6603"/>
      <c r="DM43" s="6603"/>
      <c r="DN43" s="6603"/>
      <c r="DO43" s="6603"/>
      <c r="DP43" s="6604"/>
      <c r="DQ43" s="6602"/>
      <c r="DR43" s="6603"/>
      <c r="DS43" s="6603"/>
      <c r="DT43" s="6603"/>
      <c r="DU43" s="6603"/>
      <c r="DV43" s="6603"/>
      <c r="DW43" s="6603"/>
      <c r="DX43" s="6603"/>
      <c r="DY43" s="6603"/>
      <c r="DZ43" s="6603"/>
      <c r="EA43" s="6604"/>
      <c r="EB43" s="18872"/>
      <c r="EC43" s="18873"/>
      <c r="ED43" s="18873"/>
      <c r="EE43" s="18873"/>
      <c r="EF43" s="18873"/>
      <c r="EG43" s="18873"/>
      <c r="EH43" s="18873"/>
      <c r="EI43" s="18873"/>
      <c r="EJ43" s="18873"/>
      <c r="EK43" s="18873"/>
      <c r="EL43" s="18874"/>
      <c r="EM43" s="18872"/>
      <c r="EN43" s="18873"/>
      <c r="EO43" s="18873"/>
      <c r="EP43" s="18873"/>
      <c r="EQ43" s="18873"/>
      <c r="ER43" s="18873"/>
      <c r="ES43" s="18873"/>
      <c r="ET43" s="18873"/>
      <c r="EU43" s="18873"/>
      <c r="EV43" s="18873"/>
      <c r="EW43" s="18874"/>
      <c r="EX43" s="2523"/>
      <c r="EY43" s="1623" t="s">
        <v>439</v>
      </c>
      <c r="FA43" s="861"/>
      <c r="FB43" s="861" t="str">
        <f>IF(T43="","",T43)</f>
        <v>Территория действия тарифа</v>
      </c>
      <c r="FC43" s="861"/>
      <c r="FD43" s="861"/>
    </row>
    <row customHeight="1" ht="23.25">
      <c r="A44" s="1729" t="s">
        <v>259</v>
      </c>
      <c r="B44" s="1729" t="s">
        <v>260</v>
      </c>
      <c r="C44" s="1729" t="s">
        <v>261</v>
      </c>
      <c r="D44" s="1729"/>
      <c r="E44" s="2528"/>
      <c r="F44" s="2528"/>
      <c r="G44" s="2527">
        <v>1</v>
      </c>
      <c r="H44" s="1729"/>
      <c r="I44" s="1729"/>
      <c r="J44" s="1729"/>
      <c r="K44" s="1729"/>
      <c r="L44" s="1730"/>
      <c r="M44" s="1731"/>
      <c r="N44" s="1731"/>
      <c r="O44" s="1731"/>
      <c r="P44" s="715"/>
      <c r="Q44" s="713"/>
      <c r="R44" s="714"/>
      <c r="S44" s="1859" t="str">
        <f>INDEX(PT_DIFFERENTIATION_NUM_CS,MATCH(C44,PT_DIFFERENTIATION_CS_ID,0))</f>
        <v>1.1.1</v>
      </c>
      <c r="T44" s="670" t="s">
        <v>569</v>
      </c>
      <c r="U44" s="661"/>
      <c r="V44" s="2521"/>
      <c r="W44" s="2522"/>
      <c r="X44" s="2522"/>
      <c r="Y44" s="2522"/>
      <c r="Z44" s="2522"/>
      <c r="AA44" s="2522"/>
      <c r="AB44" s="2522"/>
      <c r="AC44" s="2522"/>
      <c r="AD44" s="2522"/>
      <c r="AE44" s="2522"/>
      <c r="AF44" s="2523"/>
      <c r="AG44" s="2521" t="str">
        <f>INDEX(PT_DIFFERENTIATION_CS,MATCH(C44,PT_DIFFERENTIATION_CS_ID,0))</f>
        <v>н.п. Енский</v>
      </c>
      <c r="AH44" s="2522"/>
      <c r="AI44" s="2522"/>
      <c r="AJ44" s="2522"/>
      <c r="AK44" s="2522"/>
      <c r="AL44" s="2522"/>
      <c r="AM44" s="2522"/>
      <c r="AN44" s="2522"/>
      <c r="AO44" s="2522"/>
      <c r="AP44" s="2522"/>
      <c r="AQ44" s="2522"/>
      <c r="AR44" s="6602"/>
      <c r="AS44" s="6603"/>
      <c r="AT44" s="6603"/>
      <c r="AU44" s="6603"/>
      <c r="AV44" s="6603"/>
      <c r="AW44" s="6603"/>
      <c r="AX44" s="6603"/>
      <c r="AY44" s="6603"/>
      <c r="AZ44" s="6603"/>
      <c r="BA44" s="6603"/>
      <c r="BB44" s="6604"/>
      <c r="BC44" s="6602"/>
      <c r="BD44" s="6603"/>
      <c r="BE44" s="6603"/>
      <c r="BF44" s="6603"/>
      <c r="BG44" s="6603"/>
      <c r="BH44" s="6603"/>
      <c r="BI44" s="6603"/>
      <c r="BJ44" s="6603"/>
      <c r="BK44" s="6603"/>
      <c r="BL44" s="6603"/>
      <c r="BM44" s="6604"/>
      <c r="BN44" s="6602"/>
      <c r="BO44" s="6603"/>
      <c r="BP44" s="6603"/>
      <c r="BQ44" s="6603"/>
      <c r="BR44" s="6603"/>
      <c r="BS44" s="6603"/>
      <c r="BT44" s="6603"/>
      <c r="BU44" s="6603"/>
      <c r="BV44" s="6603"/>
      <c r="BW44" s="6603"/>
      <c r="BX44" s="6604"/>
      <c r="BY44" s="6602"/>
      <c r="BZ44" s="6603"/>
      <c r="CA44" s="6603"/>
      <c r="CB44" s="6603"/>
      <c r="CC44" s="6603"/>
      <c r="CD44" s="6603"/>
      <c r="CE44" s="6603"/>
      <c r="CF44" s="6603"/>
      <c r="CG44" s="6603"/>
      <c r="CH44" s="6603"/>
      <c r="CI44" s="6604"/>
      <c r="CJ44" s="6602"/>
      <c r="CK44" s="6603"/>
      <c r="CL44" s="6603"/>
      <c r="CM44" s="6603"/>
      <c r="CN44" s="6603"/>
      <c r="CO44" s="6603"/>
      <c r="CP44" s="6603"/>
      <c r="CQ44" s="6603"/>
      <c r="CR44" s="6603"/>
      <c r="CS44" s="6603"/>
      <c r="CT44" s="6604"/>
      <c r="CU44" s="6602"/>
      <c r="CV44" s="6603"/>
      <c r="CW44" s="6603"/>
      <c r="CX44" s="6603"/>
      <c r="CY44" s="6603"/>
      <c r="CZ44" s="6603"/>
      <c r="DA44" s="6603"/>
      <c r="DB44" s="6603"/>
      <c r="DC44" s="6603"/>
      <c r="DD44" s="6603"/>
      <c r="DE44" s="6604"/>
      <c r="DF44" s="6602"/>
      <c r="DG44" s="6603"/>
      <c r="DH44" s="6603"/>
      <c r="DI44" s="6603"/>
      <c r="DJ44" s="6603"/>
      <c r="DK44" s="6603"/>
      <c r="DL44" s="6603"/>
      <c r="DM44" s="6603"/>
      <c r="DN44" s="6603"/>
      <c r="DO44" s="6603"/>
      <c r="DP44" s="6604"/>
      <c r="DQ44" s="6602"/>
      <c r="DR44" s="6603"/>
      <c r="DS44" s="6603"/>
      <c r="DT44" s="6603"/>
      <c r="DU44" s="6603"/>
      <c r="DV44" s="6603"/>
      <c r="DW44" s="6603"/>
      <c r="DX44" s="6603"/>
      <c r="DY44" s="6603"/>
      <c r="DZ44" s="6603"/>
      <c r="EA44" s="6604"/>
      <c r="EB44" s="18872"/>
      <c r="EC44" s="18873"/>
      <c r="ED44" s="18873"/>
      <c r="EE44" s="18873"/>
      <c r="EF44" s="18873"/>
      <c r="EG44" s="18873"/>
      <c r="EH44" s="18873"/>
      <c r="EI44" s="18873"/>
      <c r="EJ44" s="18873"/>
      <c r="EK44" s="18873"/>
      <c r="EL44" s="18874"/>
      <c r="EM44" s="18872"/>
      <c r="EN44" s="18873"/>
      <c r="EO44" s="18873"/>
      <c r="EP44" s="18873"/>
      <c r="EQ44" s="18873"/>
      <c r="ER44" s="18873"/>
      <c r="ES44" s="18873"/>
      <c r="ET44" s="18873"/>
      <c r="EU44" s="18873"/>
      <c r="EV44" s="18873"/>
      <c r="EW44" s="18874"/>
      <c r="EX44" s="2523"/>
      <c r="EY44" s="1623" t="s">
        <v>570</v>
      </c>
      <c r="FA44" s="861"/>
      <c r="FB44" s="861" t="str">
        <f>IF(T44="","",T44)</f>
        <v>Наименование централизованной системы горячего водоснабжения</v>
      </c>
      <c r="FC44" s="861"/>
      <c r="FD44" s="861"/>
    </row>
    <row customHeight="1" ht="23.25">
      <c r="A45" s="1729" t="s">
        <v>259</v>
      </c>
      <c r="B45" s="1729" t="s">
        <v>260</v>
      </c>
      <c r="C45" s="1729" t="s">
        <v>261</v>
      </c>
      <c r="D45" s="1729" t="s">
        <v>581</v>
      </c>
      <c r="E45" s="2528"/>
      <c r="F45" s="2528"/>
      <c r="G45" s="2528"/>
      <c r="H45" s="2528"/>
      <c r="I45" s="2529" t="str">
        <f>S44&amp;".1"</f>
        <v>1.1.1.1</v>
      </c>
      <c r="J45" s="1729"/>
      <c r="K45" s="1729"/>
      <c r="L45" s="1730"/>
      <c r="P45" s="2531">
        <v>1</v>
      </c>
      <c r="Q45" s="1847"/>
      <c r="R45" s="717"/>
      <c r="S45" s="1859" t="str">
        <f>$I45</f>
        <v>1.1.1.1</v>
      </c>
      <c r="T45" s="646" t="s">
        <v>522</v>
      </c>
      <c r="U45" s="661"/>
      <c r="V45" s="2614"/>
      <c r="W45" s="2615"/>
      <c r="X45" s="2615"/>
      <c r="Y45" s="2615"/>
      <c r="Z45" s="2615"/>
      <c r="AA45" s="2615"/>
      <c r="AB45" s="2615"/>
      <c r="AC45" s="2615"/>
      <c r="AD45" s="2615"/>
      <c r="AE45" s="2615"/>
      <c r="AF45" s="2616"/>
      <c r="AG45" s="2617"/>
      <c r="AH45" s="2618"/>
      <c r="AI45" s="2618"/>
      <c r="AJ45" s="2618"/>
      <c r="AK45" s="2618"/>
      <c r="AL45" s="2618"/>
      <c r="AM45" s="2618"/>
      <c r="AN45" s="2618"/>
      <c r="AO45" s="2618"/>
      <c r="AP45" s="2618"/>
      <c r="AQ45" s="2618"/>
      <c r="AR45" s="6605"/>
      <c r="AS45" s="6606"/>
      <c r="AT45" s="6606"/>
      <c r="AU45" s="6606"/>
      <c r="AV45" s="6606"/>
      <c r="AW45" s="6606"/>
      <c r="AX45" s="6606"/>
      <c r="AY45" s="6606"/>
      <c r="AZ45" s="6606"/>
      <c r="BA45" s="6606"/>
      <c r="BB45" s="6607"/>
      <c r="BC45" s="6605"/>
      <c r="BD45" s="6606"/>
      <c r="BE45" s="6606"/>
      <c r="BF45" s="6606"/>
      <c r="BG45" s="6606"/>
      <c r="BH45" s="6606"/>
      <c r="BI45" s="6606"/>
      <c r="BJ45" s="6606"/>
      <c r="BK45" s="6606"/>
      <c r="BL45" s="6606"/>
      <c r="BM45" s="6607"/>
      <c r="BN45" s="6605"/>
      <c r="BO45" s="6606"/>
      <c r="BP45" s="6606"/>
      <c r="BQ45" s="6606"/>
      <c r="BR45" s="6606"/>
      <c r="BS45" s="6606"/>
      <c r="BT45" s="6606"/>
      <c r="BU45" s="6606"/>
      <c r="BV45" s="6606"/>
      <c r="BW45" s="6606"/>
      <c r="BX45" s="6607"/>
      <c r="BY45" s="6605"/>
      <c r="BZ45" s="6606"/>
      <c r="CA45" s="6606"/>
      <c r="CB45" s="6606"/>
      <c r="CC45" s="6606"/>
      <c r="CD45" s="6606"/>
      <c r="CE45" s="6606"/>
      <c r="CF45" s="6606"/>
      <c r="CG45" s="6606"/>
      <c r="CH45" s="6606"/>
      <c r="CI45" s="6607"/>
      <c r="CJ45" s="6605"/>
      <c r="CK45" s="6606"/>
      <c r="CL45" s="6606"/>
      <c r="CM45" s="6606"/>
      <c r="CN45" s="6606"/>
      <c r="CO45" s="6606"/>
      <c r="CP45" s="6606"/>
      <c r="CQ45" s="6606"/>
      <c r="CR45" s="6606"/>
      <c r="CS45" s="6606"/>
      <c r="CT45" s="6607"/>
      <c r="CU45" s="6605"/>
      <c r="CV45" s="6606"/>
      <c r="CW45" s="6606"/>
      <c r="CX45" s="6606"/>
      <c r="CY45" s="6606"/>
      <c r="CZ45" s="6606"/>
      <c r="DA45" s="6606"/>
      <c r="DB45" s="6606"/>
      <c r="DC45" s="6606"/>
      <c r="DD45" s="6606"/>
      <c r="DE45" s="6607"/>
      <c r="DF45" s="6605"/>
      <c r="DG45" s="6606"/>
      <c r="DH45" s="6606"/>
      <c r="DI45" s="6606"/>
      <c r="DJ45" s="6606"/>
      <c r="DK45" s="6606"/>
      <c r="DL45" s="6606"/>
      <c r="DM45" s="6606"/>
      <c r="DN45" s="6606"/>
      <c r="DO45" s="6606"/>
      <c r="DP45" s="6607"/>
      <c r="DQ45" s="6605"/>
      <c r="DR45" s="6606"/>
      <c r="DS45" s="6606"/>
      <c r="DT45" s="6606"/>
      <c r="DU45" s="6606"/>
      <c r="DV45" s="6606"/>
      <c r="DW45" s="6606"/>
      <c r="DX45" s="6606"/>
      <c r="DY45" s="6606"/>
      <c r="DZ45" s="6606"/>
      <c r="EA45" s="6607"/>
      <c r="EB45" s="18878"/>
      <c r="EC45" s="18879"/>
      <c r="ED45" s="18879"/>
      <c r="EE45" s="18879"/>
      <c r="EF45" s="18879"/>
      <c r="EG45" s="18879"/>
      <c r="EH45" s="18879"/>
      <c r="EI45" s="18879"/>
      <c r="EJ45" s="18879"/>
      <c r="EK45" s="18879"/>
      <c r="EL45" s="18880"/>
      <c r="EM45" s="18878"/>
      <c r="EN45" s="18879"/>
      <c r="EO45" s="18879"/>
      <c r="EP45" s="18879"/>
      <c r="EQ45" s="18879"/>
      <c r="ER45" s="18879"/>
      <c r="ES45" s="18879"/>
      <c r="ET45" s="18879"/>
      <c r="EU45" s="18879"/>
      <c r="EV45" s="18879"/>
      <c r="EW45" s="18880"/>
      <c r="EX45" s="2619"/>
      <c r="EY45" s="1623" t="s">
        <v>523</v>
      </c>
      <c r="FA45" s="861"/>
      <c r="FB45" s="861" t="str">
        <f>IF(T45="","",T45)</f>
        <v>Наименование признака дифференциации</v>
      </c>
      <c r="FC45" s="861"/>
      <c r="FD45" s="861"/>
    </row>
    <row customHeight="1" ht="23.25">
      <c r="A46" s="1729" t="s">
        <v>259</v>
      </c>
      <c r="B46" s="1729" t="s">
        <v>260</v>
      </c>
      <c r="C46" s="1729" t="s">
        <v>261</v>
      </c>
      <c r="D46" s="1729" t="s">
        <v>581</v>
      </c>
      <c r="E46" s="2528"/>
      <c r="F46" s="2528"/>
      <c r="G46" s="2528"/>
      <c r="H46" s="2528"/>
      <c r="I46" s="2530"/>
      <c r="J46" s="2529" t="str">
        <f>I45&amp;".1"</f>
        <v>1.1.1.1.1</v>
      </c>
      <c r="K46" s="1729"/>
      <c r="L46" s="1730" t="s">
        <v>447</v>
      </c>
      <c r="P46" s="2531"/>
      <c r="Q46" s="2531">
        <v>1</v>
      </c>
      <c r="R46" s="718"/>
      <c r="S46" s="1859" t="str">
        <f>$J46</f>
        <v>1.1.1.1.1</v>
      </c>
      <c r="T46" s="647" t="s">
        <v>448</v>
      </c>
      <c r="U46" s="661"/>
      <c r="V46" s="2515"/>
      <c r="W46" s="2516"/>
      <c r="X46" s="2516"/>
      <c r="Y46" s="2516"/>
      <c r="Z46" s="2516"/>
      <c r="AA46" s="2516"/>
      <c r="AB46" s="2516"/>
      <c r="AC46" s="2516"/>
      <c r="AD46" s="2516"/>
      <c r="AE46" s="2516"/>
      <c r="AF46" s="2517"/>
      <c r="AG46" s="2515" t="s">
        <v>582</v>
      </c>
      <c r="AH46" s="2516"/>
      <c r="AI46" s="2516"/>
      <c r="AJ46" s="2516"/>
      <c r="AK46" s="2516"/>
      <c r="AL46" s="2516"/>
      <c r="AM46" s="2516"/>
      <c r="AN46" s="2516"/>
      <c r="AO46" s="2516"/>
      <c r="AP46" s="2516"/>
      <c r="AQ46" s="2516"/>
      <c r="AR46" s="6608"/>
      <c r="AS46" s="6609"/>
      <c r="AT46" s="6609"/>
      <c r="AU46" s="6609"/>
      <c r="AV46" s="6609"/>
      <c r="AW46" s="6609"/>
      <c r="AX46" s="6609"/>
      <c r="AY46" s="6609"/>
      <c r="AZ46" s="6609"/>
      <c r="BA46" s="6609"/>
      <c r="BB46" s="6610"/>
      <c r="BC46" s="6608"/>
      <c r="BD46" s="6609"/>
      <c r="BE46" s="6609"/>
      <c r="BF46" s="6609"/>
      <c r="BG46" s="6609"/>
      <c r="BH46" s="6609"/>
      <c r="BI46" s="6609"/>
      <c r="BJ46" s="6609"/>
      <c r="BK46" s="6609"/>
      <c r="BL46" s="6609"/>
      <c r="BM46" s="6610"/>
      <c r="BN46" s="6608"/>
      <c r="BO46" s="6609"/>
      <c r="BP46" s="6609"/>
      <c r="BQ46" s="6609"/>
      <c r="BR46" s="6609"/>
      <c r="BS46" s="6609"/>
      <c r="BT46" s="6609"/>
      <c r="BU46" s="6609"/>
      <c r="BV46" s="6609"/>
      <c r="BW46" s="6609"/>
      <c r="BX46" s="6610"/>
      <c r="BY46" s="6608"/>
      <c r="BZ46" s="6609"/>
      <c r="CA46" s="6609"/>
      <c r="CB46" s="6609"/>
      <c r="CC46" s="6609"/>
      <c r="CD46" s="6609"/>
      <c r="CE46" s="6609"/>
      <c r="CF46" s="6609"/>
      <c r="CG46" s="6609"/>
      <c r="CH46" s="6609"/>
      <c r="CI46" s="6610"/>
      <c r="CJ46" s="6608"/>
      <c r="CK46" s="6609"/>
      <c r="CL46" s="6609"/>
      <c r="CM46" s="6609"/>
      <c r="CN46" s="6609"/>
      <c r="CO46" s="6609"/>
      <c r="CP46" s="6609"/>
      <c r="CQ46" s="6609"/>
      <c r="CR46" s="6609"/>
      <c r="CS46" s="6609"/>
      <c r="CT46" s="6610"/>
      <c r="CU46" s="6608"/>
      <c r="CV46" s="6609"/>
      <c r="CW46" s="6609"/>
      <c r="CX46" s="6609"/>
      <c r="CY46" s="6609"/>
      <c r="CZ46" s="6609"/>
      <c r="DA46" s="6609"/>
      <c r="DB46" s="6609"/>
      <c r="DC46" s="6609"/>
      <c r="DD46" s="6609"/>
      <c r="DE46" s="6610"/>
      <c r="DF46" s="6608"/>
      <c r="DG46" s="6609"/>
      <c r="DH46" s="6609"/>
      <c r="DI46" s="6609"/>
      <c r="DJ46" s="6609"/>
      <c r="DK46" s="6609"/>
      <c r="DL46" s="6609"/>
      <c r="DM46" s="6609"/>
      <c r="DN46" s="6609"/>
      <c r="DO46" s="6609"/>
      <c r="DP46" s="6610"/>
      <c r="DQ46" s="6608"/>
      <c r="DR46" s="6609"/>
      <c r="DS46" s="6609"/>
      <c r="DT46" s="6609"/>
      <c r="DU46" s="6609"/>
      <c r="DV46" s="6609"/>
      <c r="DW46" s="6609"/>
      <c r="DX46" s="6609"/>
      <c r="DY46" s="6609"/>
      <c r="DZ46" s="6609"/>
      <c r="EA46" s="6610"/>
      <c r="EB46" s="18884"/>
      <c r="EC46" s="18885"/>
      <c r="ED46" s="18885"/>
      <c r="EE46" s="18885"/>
      <c r="EF46" s="18885"/>
      <c r="EG46" s="18885"/>
      <c r="EH46" s="18885"/>
      <c r="EI46" s="18885"/>
      <c r="EJ46" s="18885"/>
      <c r="EK46" s="18885"/>
      <c r="EL46" s="18886"/>
      <c r="EM46" s="18884"/>
      <c r="EN46" s="18885"/>
      <c r="EO46" s="18885"/>
      <c r="EP46" s="18885"/>
      <c r="EQ46" s="18885"/>
      <c r="ER46" s="18885"/>
      <c r="ES46" s="18885"/>
      <c r="ET46" s="18885"/>
      <c r="EU46" s="18885"/>
      <c r="EV46" s="18885"/>
      <c r="EW46" s="18886"/>
      <c r="EX46" s="2517"/>
      <c r="EY46" s="1673" t="s">
        <v>524</v>
      </c>
      <c r="FA46" s="861"/>
      <c r="FB46" s="861" t="str">
        <f>IF(T46="","",T46)</f>
        <v>Группа потребителей</v>
      </c>
      <c r="FC46" s="861"/>
      <c r="FD46" s="861"/>
    </row>
    <row customHeight="1" ht="23.25">
      <c r="A47" s="1729" t="s">
        <v>259</v>
      </c>
      <c r="B47" s="1729" t="s">
        <v>260</v>
      </c>
      <c r="C47" s="1729" t="s">
        <v>261</v>
      </c>
      <c r="D47" s="1729" t="s">
        <v>581</v>
      </c>
      <c r="E47" s="2528"/>
      <c r="F47" s="2528"/>
      <c r="G47" s="2528"/>
      <c r="H47" s="2528"/>
      <c r="I47" s="2530"/>
      <c r="J47" s="2530"/>
      <c r="K47" s="2529" t="str">
        <f>J46&amp;".1"</f>
        <v>1.1.1.1.1.1</v>
      </c>
      <c r="L47" s="1730"/>
      <c r="P47" s="2531"/>
      <c r="Q47" s="2531"/>
      <c r="R47" s="718">
        <v>1</v>
      </c>
      <c r="S47" s="1859" t="str">
        <f>$K47</f>
        <v>1.1.1.1.1.1</v>
      </c>
      <c r="T47" s="1803"/>
      <c r="U47" s="661"/>
      <c r="V47" s="6611"/>
      <c r="W47" s="6611"/>
      <c r="X47" s="6611"/>
      <c r="Y47" s="6611"/>
      <c r="Z47" s="6611"/>
      <c r="AA47" s="6611"/>
      <c r="AB47" s="6611"/>
      <c r="AC47" s="6612"/>
      <c r="AD47" s="6613" t="s">
        <v>66</v>
      </c>
      <c r="AE47" s="6915"/>
      <c r="AF47" s="6613" t="s">
        <v>66</v>
      </c>
      <c r="AG47" s="1112">
        <v>143.13</v>
      </c>
      <c r="AH47" s="1112"/>
      <c r="AI47" s="1112"/>
      <c r="AJ47" s="1112"/>
      <c r="AK47" s="1112">
        <v>6425.93</v>
      </c>
      <c r="AL47" s="1112"/>
      <c r="AM47" s="1112"/>
      <c r="AN47" s="18891">
        <v>44896</v>
      </c>
      <c r="AO47" s="2402" t="s">
        <v>66</v>
      </c>
      <c r="AP47" s="19294">
        <v>45291</v>
      </c>
      <c r="AQ47" s="2402" t="s">
        <v>66</v>
      </c>
      <c r="AR47" s="6611">
        <v>143.13</v>
      </c>
      <c r="AS47" s="6611"/>
      <c r="AT47" s="6611"/>
      <c r="AU47" s="6611"/>
      <c r="AV47" s="6611">
        <v>6425.93</v>
      </c>
      <c r="AW47" s="6611"/>
      <c r="AX47" s="6611"/>
      <c r="AY47" s="18891">
        <v>45292</v>
      </c>
      <c r="AZ47" s="6613" t="s">
        <v>66</v>
      </c>
      <c r="BA47" s="19294">
        <v>45473</v>
      </c>
      <c r="BB47" s="6613" t="s">
        <v>66</v>
      </c>
      <c r="BC47" s="6611">
        <v>222.69</v>
      </c>
      <c r="BD47" s="6611"/>
      <c r="BE47" s="6611"/>
      <c r="BF47" s="6611"/>
      <c r="BG47" s="6611">
        <v>8873.49</v>
      </c>
      <c r="BH47" s="6611"/>
      <c r="BI47" s="6611"/>
      <c r="BJ47" s="18891">
        <v>45474</v>
      </c>
      <c r="BK47" s="6613" t="s">
        <v>66</v>
      </c>
      <c r="BL47" s="19294">
        <v>45657</v>
      </c>
      <c r="BM47" s="6613" t="s">
        <v>66</v>
      </c>
      <c r="BN47" s="6611">
        <v>149.86</v>
      </c>
      <c r="BO47" s="6611"/>
      <c r="BP47" s="6611"/>
      <c r="BQ47" s="6611"/>
      <c r="BR47" s="6611">
        <v>6883.62</v>
      </c>
      <c r="BS47" s="6611"/>
      <c r="BT47" s="6611"/>
      <c r="BU47" s="18891">
        <v>45658</v>
      </c>
      <c r="BV47" s="6613" t="s">
        <v>66</v>
      </c>
      <c r="BW47" s="19294">
        <v>45838</v>
      </c>
      <c r="BX47" s="6613" t="s">
        <v>66</v>
      </c>
      <c r="BY47" s="6611">
        <v>156.9</v>
      </c>
      <c r="BZ47" s="6611"/>
      <c r="CA47" s="6611"/>
      <c r="CB47" s="6611"/>
      <c r="CC47" s="6611">
        <v>6883.62</v>
      </c>
      <c r="CD47" s="6611"/>
      <c r="CE47" s="6611"/>
      <c r="CF47" s="18891">
        <v>45839</v>
      </c>
      <c r="CG47" s="6613" t="s">
        <v>66</v>
      </c>
      <c r="CH47" s="19294">
        <v>46022</v>
      </c>
      <c r="CI47" s="6613" t="s">
        <v>66</v>
      </c>
      <c r="CJ47" s="6611">
        <v>156.9</v>
      </c>
      <c r="CK47" s="6611"/>
      <c r="CL47" s="6611"/>
      <c r="CM47" s="6611"/>
      <c r="CN47" s="6611">
        <v>6883.62</v>
      </c>
      <c r="CO47" s="6611"/>
      <c r="CP47" s="6611"/>
      <c r="CQ47" s="18891">
        <v>46023</v>
      </c>
      <c r="CR47" s="6613" t="s">
        <v>66</v>
      </c>
      <c r="CS47" s="19294">
        <v>46203</v>
      </c>
      <c r="CT47" s="6613" t="s">
        <v>66</v>
      </c>
      <c r="CU47" s="6611">
        <v>164.27</v>
      </c>
      <c r="CV47" s="6611"/>
      <c r="CW47" s="6611"/>
      <c r="CX47" s="6611"/>
      <c r="CY47" s="6611">
        <v>7363.74</v>
      </c>
      <c r="CZ47" s="6611"/>
      <c r="DA47" s="6611"/>
      <c r="DB47" s="18891">
        <v>46204</v>
      </c>
      <c r="DC47" s="6613" t="s">
        <v>66</v>
      </c>
      <c r="DD47" s="19294">
        <v>46387</v>
      </c>
      <c r="DE47" s="6613" t="s">
        <v>66</v>
      </c>
      <c r="DF47" s="6611">
        <v>164.27</v>
      </c>
      <c r="DG47" s="6611"/>
      <c r="DH47" s="6611"/>
      <c r="DI47" s="6611"/>
      <c r="DJ47" s="6611">
        <v>7348.65</v>
      </c>
      <c r="DK47" s="6611"/>
      <c r="DL47" s="6611"/>
      <c r="DM47" s="18891">
        <v>46388</v>
      </c>
      <c r="DN47" s="6613" t="s">
        <v>66</v>
      </c>
      <c r="DO47" s="19294">
        <v>46568</v>
      </c>
      <c r="DP47" s="6613" t="s">
        <v>66</v>
      </c>
      <c r="DQ47" s="6611">
        <v>172</v>
      </c>
      <c r="DR47" s="6611"/>
      <c r="DS47" s="6611"/>
      <c r="DT47" s="6611"/>
      <c r="DU47" s="6611">
        <v>7348.65</v>
      </c>
      <c r="DV47" s="6611"/>
      <c r="DW47" s="6611"/>
      <c r="DX47" s="18891">
        <v>46569</v>
      </c>
      <c r="DY47" s="6613" t="s">
        <v>66</v>
      </c>
      <c r="DZ47" s="19294">
        <v>46752</v>
      </c>
      <c r="EA47" s="6613" t="s">
        <v>66</v>
      </c>
      <c r="EB47" s="18890">
        <v>172</v>
      </c>
      <c r="EC47" s="18890"/>
      <c r="ED47" s="18890"/>
      <c r="EE47" s="18890"/>
      <c r="EF47" s="18890">
        <v>7348.65</v>
      </c>
      <c r="EG47" s="18890"/>
      <c r="EH47" s="18890"/>
      <c r="EI47" s="18891">
        <v>46753</v>
      </c>
      <c r="EJ47" s="18892" t="s">
        <v>66</v>
      </c>
      <c r="EK47" s="19294">
        <v>46934</v>
      </c>
      <c r="EL47" s="18892" t="s">
        <v>66</v>
      </c>
      <c r="EM47" s="18890">
        <v>180.08</v>
      </c>
      <c r="EN47" s="18890"/>
      <c r="EO47" s="18890"/>
      <c r="EP47" s="18890"/>
      <c r="EQ47" s="18890">
        <v>7869.32</v>
      </c>
      <c r="ER47" s="18890"/>
      <c r="ES47" s="18890"/>
      <c r="ET47" s="18891">
        <v>46935</v>
      </c>
      <c r="EU47" s="18892" t="s">
        <v>66</v>
      </c>
      <c r="EV47" s="19294">
        <v>47118</v>
      </c>
      <c r="EW47" s="18892" t="s">
        <v>66</v>
      </c>
      <c r="EX47" s="1804"/>
      <c r="EY47" s="26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Z47" s="872">
        <f>STRCHECKDATE(V48:EX48)</f>
      </c>
      <c r="FA47" s="861"/>
      <c r="FB47" s="861" t="str">
        <f>IF(T47="","",T47)</f>
        <v/>
      </c>
      <c r="FC47" s="861"/>
      <c r="FD47" s="861"/>
    </row>
    <row customHeight="1" ht="0">
      <c r="A48" s="1729" t="s">
        <v>259</v>
      </c>
      <c r="B48" s="1729" t="s">
        <v>260</v>
      </c>
      <c r="C48" s="1729" t="s">
        <v>261</v>
      </c>
      <c r="D48" s="1729" t="s">
        <v>581</v>
      </c>
      <c r="E48" s="2528"/>
      <c r="F48" s="2528"/>
      <c r="G48" s="2528"/>
      <c r="H48" s="2528"/>
      <c r="I48" s="2530"/>
      <c r="J48" s="2530"/>
      <c r="K48" s="2529"/>
      <c r="L48" s="1730"/>
      <c r="P48" s="2531"/>
      <c r="Q48" s="2531"/>
      <c r="R48" s="718"/>
      <c r="S48" s="1856"/>
      <c r="T48" s="661"/>
      <c r="U48" s="661"/>
      <c r="V48" s="6614"/>
      <c r="W48" s="6614"/>
      <c r="X48" s="6614"/>
      <c r="Y48" s="6614"/>
      <c r="Z48" s="6614"/>
      <c r="AA48" s="6614"/>
      <c r="AB48" s="6614"/>
      <c r="AC48" s="6615"/>
      <c r="AD48" s="6613"/>
      <c r="AE48" s="6916"/>
      <c r="AF48" s="6613"/>
      <c r="AG48" s="686"/>
      <c r="AH48" s="686"/>
      <c r="AI48" s="686"/>
      <c r="AJ48" s="686"/>
      <c r="AK48" s="686"/>
      <c r="AL48" s="686"/>
      <c r="AM48" s="686"/>
      <c r="AN48" s="2533"/>
      <c r="AO48" s="2402"/>
      <c r="AP48" s="2535"/>
      <c r="AQ48" s="2402"/>
      <c r="AR48" s="6614"/>
      <c r="AS48" s="6614"/>
      <c r="AT48" s="6614"/>
      <c r="AU48" s="6614"/>
      <c r="AV48" s="6614"/>
      <c r="AW48" s="6614"/>
      <c r="AX48" s="6614"/>
      <c r="AY48" s="6615"/>
      <c r="AZ48" s="6613"/>
      <c r="BA48" s="6916"/>
      <c r="BB48" s="6613"/>
      <c r="BC48" s="6614"/>
      <c r="BD48" s="6614"/>
      <c r="BE48" s="6614"/>
      <c r="BF48" s="6614"/>
      <c r="BG48" s="6614"/>
      <c r="BH48" s="6614"/>
      <c r="BI48" s="6614"/>
      <c r="BJ48" s="6615"/>
      <c r="BK48" s="6613"/>
      <c r="BL48" s="6916"/>
      <c r="BM48" s="6613"/>
      <c r="BN48" s="6614"/>
      <c r="BO48" s="6614"/>
      <c r="BP48" s="6614"/>
      <c r="BQ48" s="6614"/>
      <c r="BR48" s="6614"/>
      <c r="BS48" s="6614"/>
      <c r="BT48" s="6614"/>
      <c r="BU48" s="6615"/>
      <c r="BV48" s="6613"/>
      <c r="BW48" s="6916"/>
      <c r="BX48" s="6613"/>
      <c r="BY48" s="6614"/>
      <c r="BZ48" s="6614"/>
      <c r="CA48" s="6614"/>
      <c r="CB48" s="6614"/>
      <c r="CC48" s="6614"/>
      <c r="CD48" s="6614"/>
      <c r="CE48" s="6614"/>
      <c r="CF48" s="6615"/>
      <c r="CG48" s="6613"/>
      <c r="CH48" s="6916"/>
      <c r="CI48" s="6613"/>
      <c r="CJ48" s="6614"/>
      <c r="CK48" s="6614"/>
      <c r="CL48" s="6614"/>
      <c r="CM48" s="6614"/>
      <c r="CN48" s="6614"/>
      <c r="CO48" s="6614"/>
      <c r="CP48" s="6614"/>
      <c r="CQ48" s="6615"/>
      <c r="CR48" s="6613"/>
      <c r="CS48" s="6916"/>
      <c r="CT48" s="6613"/>
      <c r="CU48" s="6614"/>
      <c r="CV48" s="6614"/>
      <c r="CW48" s="6614"/>
      <c r="CX48" s="6614"/>
      <c r="CY48" s="6614"/>
      <c r="CZ48" s="6614"/>
      <c r="DA48" s="6614"/>
      <c r="DB48" s="6615"/>
      <c r="DC48" s="6613"/>
      <c r="DD48" s="6916"/>
      <c r="DE48" s="6613"/>
      <c r="DF48" s="6614"/>
      <c r="DG48" s="6614"/>
      <c r="DH48" s="6614"/>
      <c r="DI48" s="6614"/>
      <c r="DJ48" s="6614"/>
      <c r="DK48" s="6614"/>
      <c r="DL48" s="6614"/>
      <c r="DM48" s="6615"/>
      <c r="DN48" s="6613"/>
      <c r="DO48" s="6916"/>
      <c r="DP48" s="6613"/>
      <c r="DQ48" s="6614"/>
      <c r="DR48" s="6614"/>
      <c r="DS48" s="6614"/>
      <c r="DT48" s="6614"/>
      <c r="DU48" s="6614"/>
      <c r="DV48" s="6614"/>
      <c r="DW48" s="6614"/>
      <c r="DX48" s="6615"/>
      <c r="DY48" s="6613"/>
      <c r="DZ48" s="6916"/>
      <c r="EA48" s="6613"/>
      <c r="EB48" s="18895"/>
      <c r="EC48" s="18895"/>
      <c r="ED48" s="18895"/>
      <c r="EE48" s="18895"/>
      <c r="EF48" s="18895"/>
      <c r="EG48" s="18895"/>
      <c r="EH48" s="18895"/>
      <c r="EI48" s="18896"/>
      <c r="EJ48" s="18892"/>
      <c r="EK48" s="19296"/>
      <c r="EL48" s="18892"/>
      <c r="EM48" s="18895"/>
      <c r="EN48" s="18895"/>
      <c r="EO48" s="18895"/>
      <c r="EP48" s="18895"/>
      <c r="EQ48" s="18895"/>
      <c r="ER48" s="18895"/>
      <c r="ES48" s="18895"/>
      <c r="ET48" s="18896"/>
      <c r="EU48" s="18892"/>
      <c r="EV48" s="19296"/>
      <c r="EW48" s="18892"/>
      <c r="EX48" s="1805"/>
      <c r="EY48" s="2620"/>
      <c r="FA48" s="861"/>
      <c r="FB48" s="861" t="str">
        <f>IF(T48="","",T48)</f>
        <v/>
      </c>
      <c r="FC48" s="861"/>
      <c r="FD48" s="861"/>
    </row>
    <row customHeight="1" ht="21">
      <c r="A49" s="1729" t="s">
        <v>259</v>
      </c>
      <c r="B49" s="1729" t="s">
        <v>260</v>
      </c>
      <c r="C49" s="1729" t="s">
        <v>261</v>
      </c>
      <c r="D49" s="1729" t="s">
        <v>581</v>
      </c>
      <c r="E49" s="2528"/>
      <c r="F49" s="2528"/>
      <c r="G49" s="2528"/>
      <c r="H49" s="2528"/>
      <c r="I49" s="2530"/>
      <c r="J49" s="2529"/>
      <c r="K49" s="1729"/>
      <c r="L49" s="1730"/>
      <c r="P49" s="2531"/>
      <c r="Q49" s="2531"/>
      <c r="R49" s="717"/>
      <c r="S49" s="1644"/>
      <c r="T49" s="648" t="s">
        <v>525</v>
      </c>
      <c r="U49" s="728"/>
      <c r="V49" s="728"/>
      <c r="W49" s="961"/>
      <c r="X49" s="961"/>
      <c r="Y49" s="961"/>
      <c r="Z49" s="961"/>
      <c r="AA49" s="961"/>
      <c r="AB49" s="961"/>
      <c r="AC49" s="728"/>
      <c r="AD49" s="728"/>
      <c r="AE49" s="728"/>
      <c r="AF49" s="728"/>
      <c r="AG49" s="728"/>
      <c r="AH49" s="961"/>
      <c r="AI49" s="961"/>
      <c r="AJ49" s="961"/>
      <c r="AK49" s="961"/>
      <c r="AL49" s="961"/>
      <c r="AM49" s="728"/>
      <c r="AN49" s="728"/>
      <c r="AO49" s="728"/>
      <c r="AP49" s="728"/>
      <c r="AQ49" s="728"/>
      <c r="AR49" s="6917"/>
      <c r="AS49" s="6918"/>
      <c r="AT49" s="6919"/>
      <c r="AU49" s="6920"/>
      <c r="AV49" s="6921"/>
      <c r="AW49" s="6922"/>
      <c r="AX49" s="6923"/>
      <c r="AY49" s="6924"/>
      <c r="AZ49" s="6925"/>
      <c r="BA49" s="6926"/>
      <c r="BB49" s="6927"/>
      <c r="BC49" s="6928"/>
      <c r="BD49" s="6929"/>
      <c r="BE49" s="6930"/>
      <c r="BF49" s="6931"/>
      <c r="BG49" s="6932"/>
      <c r="BH49" s="6933"/>
      <c r="BI49" s="6934"/>
      <c r="BJ49" s="6935"/>
      <c r="BK49" s="6936"/>
      <c r="BL49" s="6937"/>
      <c r="BM49" s="6938"/>
      <c r="BN49" s="6939"/>
      <c r="BO49" s="6940"/>
      <c r="BP49" s="6941"/>
      <c r="BQ49" s="6942"/>
      <c r="BR49" s="6943"/>
      <c r="BS49" s="6944"/>
      <c r="BT49" s="6945"/>
      <c r="BU49" s="6946"/>
      <c r="BV49" s="6947"/>
      <c r="BW49" s="6948"/>
      <c r="BX49" s="6949"/>
      <c r="BY49" s="6950"/>
      <c r="BZ49" s="6951"/>
      <c r="CA49" s="6952"/>
      <c r="CB49" s="6953"/>
      <c r="CC49" s="6954"/>
      <c r="CD49" s="6955"/>
      <c r="CE49" s="6956"/>
      <c r="CF49" s="6957"/>
      <c r="CG49" s="6958"/>
      <c r="CH49" s="6959"/>
      <c r="CI49" s="6960"/>
      <c r="CJ49" s="6961"/>
      <c r="CK49" s="6962"/>
      <c r="CL49" s="6963"/>
      <c r="CM49" s="6964"/>
      <c r="CN49" s="6965"/>
      <c r="CO49" s="6966"/>
      <c r="CP49" s="6967"/>
      <c r="CQ49" s="6968"/>
      <c r="CR49" s="6969"/>
      <c r="CS49" s="6970"/>
      <c r="CT49" s="6971"/>
      <c r="CU49" s="6972"/>
      <c r="CV49" s="6973"/>
      <c r="CW49" s="6974"/>
      <c r="CX49" s="6975"/>
      <c r="CY49" s="6976"/>
      <c r="CZ49" s="6977"/>
      <c r="DA49" s="6978"/>
      <c r="DB49" s="6979"/>
      <c r="DC49" s="6980"/>
      <c r="DD49" s="6981"/>
      <c r="DE49" s="6982"/>
      <c r="DF49" s="6983"/>
      <c r="DG49" s="6984"/>
      <c r="DH49" s="6985"/>
      <c r="DI49" s="6986"/>
      <c r="DJ49" s="6987"/>
      <c r="DK49" s="6988"/>
      <c r="DL49" s="6989"/>
      <c r="DM49" s="6990"/>
      <c r="DN49" s="6991"/>
      <c r="DO49" s="6992"/>
      <c r="DP49" s="6993"/>
      <c r="DQ49" s="6994"/>
      <c r="DR49" s="6995"/>
      <c r="DS49" s="6996"/>
      <c r="DT49" s="6997"/>
      <c r="DU49" s="6998"/>
      <c r="DV49" s="6999"/>
      <c r="DW49" s="7000"/>
      <c r="DX49" s="7001"/>
      <c r="DY49" s="7002"/>
      <c r="DZ49" s="7003"/>
      <c r="EA49" s="7004"/>
      <c r="EB49" s="19385"/>
      <c r="EC49" s="19386"/>
      <c r="ED49" s="19387"/>
      <c r="EE49" s="19388"/>
      <c r="EF49" s="19389"/>
      <c r="EG49" s="19390"/>
      <c r="EH49" s="19391"/>
      <c r="EI49" s="19392"/>
      <c r="EJ49" s="19393"/>
      <c r="EK49" s="19394"/>
      <c r="EL49" s="19395"/>
      <c r="EM49" s="19396"/>
      <c r="EN49" s="19397"/>
      <c r="EO49" s="19398"/>
      <c r="EP49" s="19399"/>
      <c r="EQ49" s="19400"/>
      <c r="ER49" s="19401"/>
      <c r="ES49" s="19402"/>
      <c r="ET49" s="19403"/>
      <c r="EU49" s="19404"/>
      <c r="EV49" s="19405"/>
      <c r="EW49" s="19406"/>
      <c r="EX49" s="728"/>
      <c r="EY49" s="1623" t="s">
        <v>526</v>
      </c>
      <c r="FA49" s="861"/>
      <c r="FB49" s="861" t="str">
        <f>IF(T49="","",T49)</f>
        <v>Добавить значение признака дифференциации</v>
      </c>
      <c r="FC49" s="861"/>
      <c r="FD49" s="861"/>
    </row>
    <row customHeight="1" ht="21">
      <c r="A50" s="1729" t="s">
        <v>259</v>
      </c>
      <c r="B50" s="1729" t="s">
        <v>260</v>
      </c>
      <c r="C50" s="1729" t="s">
        <v>261</v>
      </c>
      <c r="D50" s="1729" t="s">
        <v>581</v>
      </c>
      <c r="E50" s="2528"/>
      <c r="F50" s="2528"/>
      <c r="G50" s="2528"/>
      <c r="H50" s="2528"/>
      <c r="I50" s="2529"/>
      <c r="J50" s="1729"/>
      <c r="K50" s="1729"/>
      <c r="L50" s="1730"/>
      <c r="P50" s="2531"/>
      <c r="Q50" s="1847"/>
      <c r="R50" s="717"/>
      <c r="S50" s="1644"/>
      <c r="T50" s="726" t="s">
        <v>453</v>
      </c>
      <c r="U50" s="728"/>
      <c r="V50" s="728"/>
      <c r="W50" s="961"/>
      <c r="X50" s="961"/>
      <c r="Y50" s="961"/>
      <c r="Z50" s="961"/>
      <c r="AA50" s="961"/>
      <c r="AB50" s="961"/>
      <c r="AC50" s="728"/>
      <c r="AD50" s="728"/>
      <c r="AE50" s="728"/>
      <c r="AF50" s="727"/>
      <c r="AG50" s="728"/>
      <c r="AH50" s="961"/>
      <c r="AI50" s="961"/>
      <c r="AJ50" s="961"/>
      <c r="AK50" s="961"/>
      <c r="AL50" s="961"/>
      <c r="AM50" s="728"/>
      <c r="AN50" s="728"/>
      <c r="AO50" s="728"/>
      <c r="AP50" s="728"/>
      <c r="AQ50" s="727"/>
      <c r="AR50" s="7005"/>
      <c r="AS50" s="7006"/>
      <c r="AT50" s="7007"/>
      <c r="AU50" s="7008"/>
      <c r="AV50" s="7009"/>
      <c r="AW50" s="7010"/>
      <c r="AX50" s="7011"/>
      <c r="AY50" s="7012"/>
      <c r="AZ50" s="7013"/>
      <c r="BA50" s="7014"/>
      <c r="BB50" s="7015"/>
      <c r="BC50" s="7016"/>
      <c r="BD50" s="7017"/>
      <c r="BE50" s="7018"/>
      <c r="BF50" s="7019"/>
      <c r="BG50" s="7020"/>
      <c r="BH50" s="7021"/>
      <c r="BI50" s="7022"/>
      <c r="BJ50" s="7023"/>
      <c r="BK50" s="7024"/>
      <c r="BL50" s="7025"/>
      <c r="BM50" s="7026"/>
      <c r="BN50" s="7027"/>
      <c r="BO50" s="7028"/>
      <c r="BP50" s="7029"/>
      <c r="BQ50" s="7030"/>
      <c r="BR50" s="7031"/>
      <c r="BS50" s="7032"/>
      <c r="BT50" s="7033"/>
      <c r="BU50" s="7034"/>
      <c r="BV50" s="7035"/>
      <c r="BW50" s="7036"/>
      <c r="BX50" s="7037"/>
      <c r="BY50" s="7038"/>
      <c r="BZ50" s="7039"/>
      <c r="CA50" s="7040"/>
      <c r="CB50" s="7041"/>
      <c r="CC50" s="7042"/>
      <c r="CD50" s="7043"/>
      <c r="CE50" s="7044"/>
      <c r="CF50" s="7045"/>
      <c r="CG50" s="7046"/>
      <c r="CH50" s="7047"/>
      <c r="CI50" s="7048"/>
      <c r="CJ50" s="7049"/>
      <c r="CK50" s="7050"/>
      <c r="CL50" s="7051"/>
      <c r="CM50" s="7052"/>
      <c r="CN50" s="7053"/>
      <c r="CO50" s="7054"/>
      <c r="CP50" s="7055"/>
      <c r="CQ50" s="7056"/>
      <c r="CR50" s="7057"/>
      <c r="CS50" s="7058"/>
      <c r="CT50" s="7059"/>
      <c r="CU50" s="7060"/>
      <c r="CV50" s="7061"/>
      <c r="CW50" s="7062"/>
      <c r="CX50" s="7063"/>
      <c r="CY50" s="7064"/>
      <c r="CZ50" s="7065"/>
      <c r="DA50" s="7066"/>
      <c r="DB50" s="7067"/>
      <c r="DC50" s="7068"/>
      <c r="DD50" s="7069"/>
      <c r="DE50" s="7070"/>
      <c r="DF50" s="7071"/>
      <c r="DG50" s="7072"/>
      <c r="DH50" s="7073"/>
      <c r="DI50" s="7074"/>
      <c r="DJ50" s="7075"/>
      <c r="DK50" s="7076"/>
      <c r="DL50" s="7077"/>
      <c r="DM50" s="7078"/>
      <c r="DN50" s="7079"/>
      <c r="DO50" s="7080"/>
      <c r="DP50" s="7081"/>
      <c r="DQ50" s="7082"/>
      <c r="DR50" s="7083"/>
      <c r="DS50" s="7084"/>
      <c r="DT50" s="7085"/>
      <c r="DU50" s="7086"/>
      <c r="DV50" s="7087"/>
      <c r="DW50" s="7088"/>
      <c r="DX50" s="7089"/>
      <c r="DY50" s="7090"/>
      <c r="DZ50" s="7091"/>
      <c r="EA50" s="7092"/>
      <c r="EB50" s="19495"/>
      <c r="EC50" s="19496"/>
      <c r="ED50" s="19497"/>
      <c r="EE50" s="19498"/>
      <c r="EF50" s="19499"/>
      <c r="EG50" s="19500"/>
      <c r="EH50" s="19501"/>
      <c r="EI50" s="19502"/>
      <c r="EJ50" s="19503"/>
      <c r="EK50" s="19504"/>
      <c r="EL50" s="19505"/>
      <c r="EM50" s="19506"/>
      <c r="EN50" s="19507"/>
      <c r="EO50" s="19508"/>
      <c r="EP50" s="19509"/>
      <c r="EQ50" s="19510"/>
      <c r="ER50" s="19511"/>
      <c r="ES50" s="19512"/>
      <c r="ET50" s="19513"/>
      <c r="EU50" s="19514"/>
      <c r="EV50" s="19515"/>
      <c r="EW50" s="19516"/>
      <c r="EX50" s="728"/>
      <c r="EY50" s="1806"/>
      <c r="FA50" s="861"/>
      <c r="FB50" s="861" t="str">
        <f>IF(T50="","",T50)</f>
        <v>Добавить группу потребителей</v>
      </c>
      <c r="FC50" s="861"/>
      <c r="FD50" s="861"/>
    </row>
    <row customHeight="1" ht="21">
      <c r="A51" s="1729" t="s">
        <v>259</v>
      </c>
      <c r="B51" s="1729" t="s">
        <v>260</v>
      </c>
      <c r="C51" s="1729" t="s">
        <v>261</v>
      </c>
      <c r="D51" s="1729" t="s">
        <v>581</v>
      </c>
      <c r="E51" s="2528"/>
      <c r="F51" s="2528"/>
      <c r="G51" s="2528"/>
      <c r="H51" s="2527"/>
      <c r="I51" s="1729"/>
      <c r="J51" s="1729"/>
      <c r="K51" s="1729"/>
      <c r="L51" s="1730"/>
      <c r="M51" s="1731"/>
      <c r="N51" s="1731"/>
      <c r="O51" s="898"/>
      <c r="P51" s="721"/>
      <c r="Q51" s="736"/>
      <c r="R51" s="716"/>
      <c r="S51" s="1644"/>
      <c r="T51" s="733" t="s">
        <v>527</v>
      </c>
      <c r="U51" s="728"/>
      <c r="V51" s="728"/>
      <c r="W51" s="961"/>
      <c r="X51" s="961"/>
      <c r="Y51" s="961"/>
      <c r="Z51" s="961"/>
      <c r="AA51" s="961"/>
      <c r="AB51" s="961"/>
      <c r="AC51" s="728"/>
      <c r="AD51" s="728"/>
      <c r="AE51" s="728"/>
      <c r="AF51" s="727"/>
      <c r="AG51" s="728"/>
      <c r="AH51" s="961"/>
      <c r="AI51" s="961"/>
      <c r="AJ51" s="961"/>
      <c r="AK51" s="961"/>
      <c r="AL51" s="961"/>
      <c r="AM51" s="728"/>
      <c r="AN51" s="728"/>
      <c r="AO51" s="728"/>
      <c r="AP51" s="728"/>
      <c r="AQ51" s="727"/>
      <c r="AR51" s="7093"/>
      <c r="AS51" s="7094"/>
      <c r="AT51" s="7095"/>
      <c r="AU51" s="7096"/>
      <c r="AV51" s="7097"/>
      <c r="AW51" s="7098"/>
      <c r="AX51" s="7099"/>
      <c r="AY51" s="7100"/>
      <c r="AZ51" s="7101"/>
      <c r="BA51" s="7102"/>
      <c r="BB51" s="7103"/>
      <c r="BC51" s="7104"/>
      <c r="BD51" s="7105"/>
      <c r="BE51" s="7106"/>
      <c r="BF51" s="7107"/>
      <c r="BG51" s="7108"/>
      <c r="BH51" s="7109"/>
      <c r="BI51" s="7110"/>
      <c r="BJ51" s="7111"/>
      <c r="BK51" s="7112"/>
      <c r="BL51" s="7113"/>
      <c r="BM51" s="7114"/>
      <c r="BN51" s="7115"/>
      <c r="BO51" s="7116"/>
      <c r="BP51" s="7117"/>
      <c r="BQ51" s="7118"/>
      <c r="BR51" s="7119"/>
      <c r="BS51" s="7120"/>
      <c r="BT51" s="7121"/>
      <c r="BU51" s="7122"/>
      <c r="BV51" s="7123"/>
      <c r="BW51" s="7124"/>
      <c r="BX51" s="7125"/>
      <c r="BY51" s="7126"/>
      <c r="BZ51" s="7127"/>
      <c r="CA51" s="7128"/>
      <c r="CB51" s="7129"/>
      <c r="CC51" s="7130"/>
      <c r="CD51" s="7131"/>
      <c r="CE51" s="7132"/>
      <c r="CF51" s="7133"/>
      <c r="CG51" s="7134"/>
      <c r="CH51" s="7135"/>
      <c r="CI51" s="7136"/>
      <c r="CJ51" s="7137"/>
      <c r="CK51" s="7138"/>
      <c r="CL51" s="7139"/>
      <c r="CM51" s="7140"/>
      <c r="CN51" s="7141"/>
      <c r="CO51" s="7142"/>
      <c r="CP51" s="7143"/>
      <c r="CQ51" s="7144"/>
      <c r="CR51" s="7145"/>
      <c r="CS51" s="7146"/>
      <c r="CT51" s="7147"/>
      <c r="CU51" s="7148"/>
      <c r="CV51" s="7149"/>
      <c r="CW51" s="7150"/>
      <c r="CX51" s="7151"/>
      <c r="CY51" s="7152"/>
      <c r="CZ51" s="7153"/>
      <c r="DA51" s="7154"/>
      <c r="DB51" s="7155"/>
      <c r="DC51" s="7156"/>
      <c r="DD51" s="7157"/>
      <c r="DE51" s="7158"/>
      <c r="DF51" s="7159"/>
      <c r="DG51" s="7160"/>
      <c r="DH51" s="7161"/>
      <c r="DI51" s="7162"/>
      <c r="DJ51" s="7163"/>
      <c r="DK51" s="7164"/>
      <c r="DL51" s="7165"/>
      <c r="DM51" s="7166"/>
      <c r="DN51" s="7167"/>
      <c r="DO51" s="7168"/>
      <c r="DP51" s="7169"/>
      <c r="DQ51" s="7170"/>
      <c r="DR51" s="7171"/>
      <c r="DS51" s="7172"/>
      <c r="DT51" s="7173"/>
      <c r="DU51" s="7174"/>
      <c r="DV51" s="7175"/>
      <c r="DW51" s="7176"/>
      <c r="DX51" s="7177"/>
      <c r="DY51" s="7178"/>
      <c r="DZ51" s="7179"/>
      <c r="EA51" s="7180"/>
      <c r="EB51" s="19605"/>
      <c r="EC51" s="19606"/>
      <c r="ED51" s="19607"/>
      <c r="EE51" s="19608"/>
      <c r="EF51" s="19609"/>
      <c r="EG51" s="19610"/>
      <c r="EH51" s="19611"/>
      <c r="EI51" s="19612"/>
      <c r="EJ51" s="19613"/>
      <c r="EK51" s="19614"/>
      <c r="EL51" s="19615"/>
      <c r="EM51" s="19616"/>
      <c r="EN51" s="19617"/>
      <c r="EO51" s="19618"/>
      <c r="EP51" s="19619"/>
      <c r="EQ51" s="19620"/>
      <c r="ER51" s="19621"/>
      <c r="ES51" s="19622"/>
      <c r="ET51" s="19623"/>
      <c r="EU51" s="19624"/>
      <c r="EV51" s="19625"/>
      <c r="EW51" s="19626"/>
      <c r="EX51" s="728"/>
      <c r="EY51" s="664"/>
      <c r="FA51" s="861"/>
      <c r="FB51" s="861" t="str">
        <f>IF(T51="","",T51)</f>
        <v>Добавить наименование признака дифференциации</v>
      </c>
      <c r="FC51" s="861"/>
      <c r="FD51" s="861"/>
    </row>
    <row s="32198" customFormat="1" customHeight="1" ht="0">
      <c r="A52" s="1709" t="s">
        <v>259</v>
      </c>
      <c r="B52" s="1709" t="s">
        <v>260</v>
      </c>
      <c r="C52" s="1680"/>
      <c r="D52" s="1680"/>
      <c r="E52" s="2528"/>
      <c r="F52" s="2527"/>
      <c r="G52" s="1680"/>
      <c r="H52" s="1680"/>
      <c r="I52" s="1680"/>
      <c r="J52" s="1680"/>
      <c r="K52" s="1680"/>
      <c r="L52" s="1860"/>
      <c r="M52" s="1687"/>
      <c r="N52" s="1687"/>
      <c r="P52" s="1682"/>
      <c r="Q52" s="1683"/>
      <c r="R52" s="1682"/>
      <c r="S52" s="1688"/>
      <c r="T52" s="1691" t="s">
        <v>262</v>
      </c>
      <c r="U52" s="1690"/>
      <c r="V52" s="1690"/>
      <c r="W52" s="1690"/>
      <c r="X52" s="1690"/>
      <c r="Y52" s="1690"/>
      <c r="Z52" s="1690"/>
      <c r="AA52" s="1690"/>
      <c r="AB52" s="1690"/>
      <c r="AC52" s="1690"/>
      <c r="AD52" s="1690"/>
      <c r="AE52" s="1690"/>
      <c r="AF52" s="1690"/>
      <c r="AG52" s="1690"/>
      <c r="AH52" s="1690"/>
      <c r="AI52" s="1690"/>
      <c r="AJ52" s="1690"/>
      <c r="AK52" s="1690"/>
      <c r="AL52" s="1690"/>
      <c r="AM52" s="1690"/>
      <c r="AN52" s="1690"/>
      <c r="AO52" s="1690"/>
      <c r="AP52" s="1690"/>
      <c r="AQ52" s="1690"/>
      <c r="AR52" s="6880"/>
      <c r="AS52" s="6880"/>
      <c r="AT52" s="6880"/>
      <c r="AU52" s="6880"/>
      <c r="AV52" s="6880"/>
      <c r="AW52" s="6880"/>
      <c r="AX52" s="6880"/>
      <c r="AY52" s="6880"/>
      <c r="AZ52" s="6880"/>
      <c r="BA52" s="6880"/>
      <c r="BB52" s="6880"/>
      <c r="BC52" s="6880"/>
      <c r="BD52" s="6880"/>
      <c r="BE52" s="6880"/>
      <c r="BF52" s="6880"/>
      <c r="BG52" s="6880"/>
      <c r="BH52" s="6880"/>
      <c r="BI52" s="6880"/>
      <c r="BJ52" s="6880"/>
      <c r="BK52" s="6880"/>
      <c r="BL52" s="6880"/>
      <c r="BM52" s="6880"/>
      <c r="BN52" s="6880"/>
      <c r="BO52" s="6880"/>
      <c r="BP52" s="6880"/>
      <c r="BQ52" s="6880"/>
      <c r="BR52" s="6880"/>
      <c r="BS52" s="6880"/>
      <c r="BT52" s="6880"/>
      <c r="BU52" s="6880"/>
      <c r="BV52" s="6880"/>
      <c r="BW52" s="6880"/>
      <c r="BX52" s="6880"/>
      <c r="BY52" s="6880"/>
      <c r="BZ52" s="6880"/>
      <c r="CA52" s="6880"/>
      <c r="CB52" s="6880"/>
      <c r="CC52" s="6880"/>
      <c r="CD52" s="6880"/>
      <c r="CE52" s="6880"/>
      <c r="CF52" s="6880"/>
      <c r="CG52" s="6880"/>
      <c r="CH52" s="6880"/>
      <c r="CI52" s="6880"/>
      <c r="CJ52" s="6880"/>
      <c r="CK52" s="6880"/>
      <c r="CL52" s="6880"/>
      <c r="CM52" s="6880"/>
      <c r="CN52" s="6880"/>
      <c r="CO52" s="6880"/>
      <c r="CP52" s="6880"/>
      <c r="CQ52" s="6880"/>
      <c r="CR52" s="6880"/>
      <c r="CS52" s="6880"/>
      <c r="CT52" s="6880"/>
      <c r="CU52" s="6880"/>
      <c r="CV52" s="6880"/>
      <c r="CW52" s="6880"/>
      <c r="CX52" s="6880"/>
      <c r="CY52" s="6880"/>
      <c r="CZ52" s="6880"/>
      <c r="DA52" s="6880"/>
      <c r="DB52" s="6880"/>
      <c r="DC52" s="6880"/>
      <c r="DD52" s="6880"/>
      <c r="DE52" s="6880"/>
      <c r="DF52" s="6880"/>
      <c r="DG52" s="6880"/>
      <c r="DH52" s="6880"/>
      <c r="DI52" s="6880"/>
      <c r="DJ52" s="6880"/>
      <c r="DK52" s="6880"/>
      <c r="DL52" s="6880"/>
      <c r="DM52" s="6880"/>
      <c r="DN52" s="6880"/>
      <c r="DO52" s="6880"/>
      <c r="DP52" s="6880"/>
      <c r="DQ52" s="6880"/>
      <c r="DR52" s="6880"/>
      <c r="DS52" s="6880"/>
      <c r="DT52" s="6880"/>
      <c r="DU52" s="6880"/>
      <c r="DV52" s="6880"/>
      <c r="DW52" s="6880"/>
      <c r="DX52" s="6880"/>
      <c r="DY52" s="6880"/>
      <c r="DZ52" s="6880"/>
      <c r="EA52" s="6880"/>
      <c r="EB52" s="19228"/>
      <c r="EC52" s="19228"/>
      <c r="ED52" s="19228"/>
      <c r="EE52" s="19228"/>
      <c r="EF52" s="19228"/>
      <c r="EG52" s="19228"/>
      <c r="EH52" s="19228"/>
      <c r="EI52" s="19228"/>
      <c r="EJ52" s="19228"/>
      <c r="EK52" s="19228"/>
      <c r="EL52" s="19228"/>
      <c r="EM52" s="19228"/>
      <c r="EN52" s="19228"/>
      <c r="EO52" s="19228"/>
      <c r="EP52" s="19228"/>
      <c r="EQ52" s="19228"/>
      <c r="ER52" s="19228"/>
      <c r="ES52" s="19228"/>
      <c r="ET52" s="19228"/>
      <c r="EU52" s="19228"/>
      <c r="EV52" s="19228"/>
      <c r="EW52" s="19228"/>
      <c r="EX52" s="1690"/>
      <c r="EY52" s="1690"/>
      <c r="FA52" s="1150"/>
      <c r="FB52" s="1150" t="str">
        <f>IF(T52="","",T52)</f>
        <v>Добавить централизованную систему для дифференциации</v>
      </c>
      <c r="FC52" s="1150"/>
      <c r="FD52" s="1150"/>
    </row>
    <row s="33334" customFormat="1" customHeight="1" ht="23.25">
      <c r="A53" s="7182"/>
      <c r="B53" s="7182" t="s">
        <v>263</v>
      </c>
      <c r="C53" s="7182"/>
      <c r="D53" s="7182"/>
      <c r="E53" s="7183"/>
      <c r="F53" s="7184" t="s">
        <v>102</v>
      </c>
      <c r="G53" s="7182"/>
      <c r="H53" s="7182"/>
      <c r="I53" s="7182"/>
      <c r="J53" s="7182"/>
      <c r="K53" s="7182"/>
      <c r="L53" s="7185"/>
      <c r="M53" s="7186"/>
      <c r="N53" s="7186"/>
      <c r="O53" s="7186"/>
      <c r="P53" s="7187"/>
      <c r="Q53" s="7188"/>
      <c r="R53" s="7189"/>
      <c r="S53" s="7190" t="str">
        <f>INDEX(PT_DIFFERENTIATION_NUM_TER,MATCH(B53,PT_DIFFERENTIATION_TER_ID,0))</f>
        <v>1.2</v>
      </c>
      <c r="T53" s="7191" t="s">
        <v>438</v>
      </c>
      <c r="U53" s="7192"/>
      <c r="V53" s="6602"/>
      <c r="W53" s="6603"/>
      <c r="X53" s="6603"/>
      <c r="Y53" s="6603"/>
      <c r="Z53" s="6603"/>
      <c r="AA53" s="6603"/>
      <c r="AB53" s="6603"/>
      <c r="AC53" s="6603"/>
      <c r="AD53" s="6603"/>
      <c r="AE53" s="6603"/>
      <c r="AF53" s="6604"/>
      <c r="AG53" s="6602" t="str">
        <f>INDEX(PT_DIFFERENTIATION_TER,MATCH(B53,PT_DIFFERENTIATION_TER_ID,0))</f>
        <v>Территория 2</v>
      </c>
      <c r="AH53" s="6603"/>
      <c r="AI53" s="6603"/>
      <c r="AJ53" s="6603"/>
      <c r="AK53" s="6603"/>
      <c r="AL53" s="6603"/>
      <c r="AM53" s="6603"/>
      <c r="AN53" s="6603"/>
      <c r="AO53" s="6603"/>
      <c r="AP53" s="6603"/>
      <c r="AQ53" s="6603"/>
      <c r="AR53" s="6602"/>
      <c r="AS53" s="6603"/>
      <c r="AT53" s="6603"/>
      <c r="AU53" s="6603"/>
      <c r="AV53" s="6603"/>
      <c r="AW53" s="6603"/>
      <c r="AX53" s="6603"/>
      <c r="AY53" s="6603"/>
      <c r="AZ53" s="6603"/>
      <c r="BA53" s="6603"/>
      <c r="BB53" s="6604"/>
      <c r="BC53" s="6602"/>
      <c r="BD53" s="6603"/>
      <c r="BE53" s="6603"/>
      <c r="BF53" s="6603"/>
      <c r="BG53" s="6603"/>
      <c r="BH53" s="6603"/>
      <c r="BI53" s="6603"/>
      <c r="BJ53" s="6603"/>
      <c r="BK53" s="6603"/>
      <c r="BL53" s="6603"/>
      <c r="BM53" s="6604"/>
      <c r="BN53" s="6602"/>
      <c r="BO53" s="6603"/>
      <c r="BP53" s="6603"/>
      <c r="BQ53" s="6603"/>
      <c r="BR53" s="6603"/>
      <c r="BS53" s="6603"/>
      <c r="BT53" s="6603"/>
      <c r="BU53" s="6603"/>
      <c r="BV53" s="6603"/>
      <c r="BW53" s="6603"/>
      <c r="BX53" s="6604"/>
      <c r="BY53" s="6602"/>
      <c r="BZ53" s="6603"/>
      <c r="CA53" s="6603"/>
      <c r="CB53" s="6603"/>
      <c r="CC53" s="6603"/>
      <c r="CD53" s="6603"/>
      <c r="CE53" s="6603"/>
      <c r="CF53" s="6603"/>
      <c r="CG53" s="6603"/>
      <c r="CH53" s="6603"/>
      <c r="CI53" s="6604"/>
      <c r="CJ53" s="6602"/>
      <c r="CK53" s="6603"/>
      <c r="CL53" s="6603"/>
      <c r="CM53" s="6603"/>
      <c r="CN53" s="6603"/>
      <c r="CO53" s="6603"/>
      <c r="CP53" s="6603"/>
      <c r="CQ53" s="6603"/>
      <c r="CR53" s="6603"/>
      <c r="CS53" s="6603"/>
      <c r="CT53" s="6604"/>
      <c r="CU53" s="6602"/>
      <c r="CV53" s="6603"/>
      <c r="CW53" s="6603"/>
      <c r="CX53" s="6603"/>
      <c r="CY53" s="6603"/>
      <c r="CZ53" s="6603"/>
      <c r="DA53" s="6603"/>
      <c r="DB53" s="6603"/>
      <c r="DC53" s="6603"/>
      <c r="DD53" s="6603"/>
      <c r="DE53" s="6604"/>
      <c r="DF53" s="6602"/>
      <c r="DG53" s="6603"/>
      <c r="DH53" s="6603"/>
      <c r="DI53" s="6603"/>
      <c r="DJ53" s="6603"/>
      <c r="DK53" s="6603"/>
      <c r="DL53" s="6603"/>
      <c r="DM53" s="6603"/>
      <c r="DN53" s="6603"/>
      <c r="DO53" s="6603"/>
      <c r="DP53" s="6604"/>
      <c r="DQ53" s="6602"/>
      <c r="DR53" s="6603"/>
      <c r="DS53" s="6603"/>
      <c r="DT53" s="6603"/>
      <c r="DU53" s="6603"/>
      <c r="DV53" s="6603"/>
      <c r="DW53" s="6603"/>
      <c r="DX53" s="6603"/>
      <c r="DY53" s="6603"/>
      <c r="DZ53" s="6603"/>
      <c r="EA53" s="6604"/>
      <c r="EB53" s="18872"/>
      <c r="EC53" s="18873"/>
      <c r="ED53" s="18873"/>
      <c r="EE53" s="18873"/>
      <c r="EF53" s="18873"/>
      <c r="EG53" s="18873"/>
      <c r="EH53" s="18873"/>
      <c r="EI53" s="18873"/>
      <c r="EJ53" s="18873"/>
      <c r="EK53" s="18873"/>
      <c r="EL53" s="18874"/>
      <c r="EM53" s="18872"/>
      <c r="EN53" s="18873"/>
      <c r="EO53" s="18873"/>
      <c r="EP53" s="18873"/>
      <c r="EQ53" s="18873"/>
      <c r="ER53" s="18873"/>
      <c r="ES53" s="18873"/>
      <c r="ET53" s="18873"/>
      <c r="EU53" s="18873"/>
      <c r="EV53" s="18873"/>
      <c r="EW53" s="18874"/>
      <c r="EX53" s="6604"/>
      <c r="EY53" s="7193" t="s">
        <v>439</v>
      </c>
      <c r="EZ53" s="6889"/>
      <c r="FA53" s="7194"/>
      <c r="FB53" s="7194" t="str">
        <f>IF(T53="","",T53)</f>
        <v>Территория действия тарифа</v>
      </c>
      <c r="FC53" s="7194"/>
      <c r="FD53" s="7194"/>
    </row>
    <row s="33348" customFormat="1" customHeight="1" ht="23.25">
      <c r="A54" s="7182"/>
      <c r="B54" s="7182"/>
      <c r="C54" s="7182" t="s">
        <v>264</v>
      </c>
      <c r="D54" s="7182"/>
      <c r="E54" s="7183"/>
      <c r="F54" s="7183">
        <v>1</v>
      </c>
      <c r="G54" s="7184">
        <v>1</v>
      </c>
      <c r="H54" s="7182"/>
      <c r="I54" s="7182"/>
      <c r="J54" s="7182"/>
      <c r="K54" s="7182"/>
      <c r="L54" s="7185"/>
      <c r="M54" s="7186"/>
      <c r="N54" s="7186"/>
      <c r="O54" s="7186"/>
      <c r="P54" s="7196"/>
      <c r="Q54" s="7188"/>
      <c r="R54" s="7189"/>
      <c r="S54" s="7190" t="str">
        <f>INDEX(PT_DIFFERENTIATION_NUM_CS,MATCH(C54,PT_DIFFERENTIATION_CS_ID,0))</f>
        <v>1.2.1</v>
      </c>
      <c r="T54" s="7197" t="s">
        <v>569</v>
      </c>
      <c r="U54" s="7192"/>
      <c r="V54" s="6602"/>
      <c r="W54" s="6603"/>
      <c r="X54" s="6603"/>
      <c r="Y54" s="6603"/>
      <c r="Z54" s="6603"/>
      <c r="AA54" s="6603"/>
      <c r="AB54" s="6603"/>
      <c r="AC54" s="6603"/>
      <c r="AD54" s="6603"/>
      <c r="AE54" s="6603"/>
      <c r="AF54" s="6604"/>
      <c r="AG54" s="6602" t="str">
        <f>INDEX(PT_DIFFERENTIATION_CS,MATCH(C54,PT_DIFFERENTIATION_CS_ID,0))</f>
        <v>без дифференциации</v>
      </c>
      <c r="AH54" s="6603"/>
      <c r="AI54" s="6603"/>
      <c r="AJ54" s="6603"/>
      <c r="AK54" s="6603"/>
      <c r="AL54" s="6603"/>
      <c r="AM54" s="6603"/>
      <c r="AN54" s="6603"/>
      <c r="AO54" s="6603"/>
      <c r="AP54" s="6603"/>
      <c r="AQ54" s="6603"/>
      <c r="AR54" s="6602"/>
      <c r="AS54" s="6603"/>
      <c r="AT54" s="6603"/>
      <c r="AU54" s="6603"/>
      <c r="AV54" s="6603"/>
      <c r="AW54" s="6603"/>
      <c r="AX54" s="6603"/>
      <c r="AY54" s="6603"/>
      <c r="AZ54" s="6603"/>
      <c r="BA54" s="6603"/>
      <c r="BB54" s="6604"/>
      <c r="BC54" s="6602"/>
      <c r="BD54" s="6603"/>
      <c r="BE54" s="6603"/>
      <c r="BF54" s="6603"/>
      <c r="BG54" s="6603"/>
      <c r="BH54" s="6603"/>
      <c r="BI54" s="6603"/>
      <c r="BJ54" s="6603"/>
      <c r="BK54" s="6603"/>
      <c r="BL54" s="6603"/>
      <c r="BM54" s="6604"/>
      <c r="BN54" s="6602"/>
      <c r="BO54" s="6603"/>
      <c r="BP54" s="6603"/>
      <c r="BQ54" s="6603"/>
      <c r="BR54" s="6603"/>
      <c r="BS54" s="6603"/>
      <c r="BT54" s="6603"/>
      <c r="BU54" s="6603"/>
      <c r="BV54" s="6603"/>
      <c r="BW54" s="6603"/>
      <c r="BX54" s="6604"/>
      <c r="BY54" s="6602"/>
      <c r="BZ54" s="6603"/>
      <c r="CA54" s="6603"/>
      <c r="CB54" s="6603"/>
      <c r="CC54" s="6603"/>
      <c r="CD54" s="6603"/>
      <c r="CE54" s="6603"/>
      <c r="CF54" s="6603"/>
      <c r="CG54" s="6603"/>
      <c r="CH54" s="6603"/>
      <c r="CI54" s="6604"/>
      <c r="CJ54" s="6602"/>
      <c r="CK54" s="6603"/>
      <c r="CL54" s="6603"/>
      <c r="CM54" s="6603"/>
      <c r="CN54" s="6603"/>
      <c r="CO54" s="6603"/>
      <c r="CP54" s="6603"/>
      <c r="CQ54" s="6603"/>
      <c r="CR54" s="6603"/>
      <c r="CS54" s="6603"/>
      <c r="CT54" s="6604"/>
      <c r="CU54" s="6602"/>
      <c r="CV54" s="6603"/>
      <c r="CW54" s="6603"/>
      <c r="CX54" s="6603"/>
      <c r="CY54" s="6603"/>
      <c r="CZ54" s="6603"/>
      <c r="DA54" s="6603"/>
      <c r="DB54" s="6603"/>
      <c r="DC54" s="6603"/>
      <c r="DD54" s="6603"/>
      <c r="DE54" s="6604"/>
      <c r="DF54" s="6602"/>
      <c r="DG54" s="6603"/>
      <c r="DH54" s="6603"/>
      <c r="DI54" s="6603"/>
      <c r="DJ54" s="6603"/>
      <c r="DK54" s="6603"/>
      <c r="DL54" s="6603"/>
      <c r="DM54" s="6603"/>
      <c r="DN54" s="6603"/>
      <c r="DO54" s="6603"/>
      <c r="DP54" s="6604"/>
      <c r="DQ54" s="6602"/>
      <c r="DR54" s="6603"/>
      <c r="DS54" s="6603"/>
      <c r="DT54" s="6603"/>
      <c r="DU54" s="6603"/>
      <c r="DV54" s="6603"/>
      <c r="DW54" s="6603"/>
      <c r="DX54" s="6603"/>
      <c r="DY54" s="6603"/>
      <c r="DZ54" s="6603"/>
      <c r="EA54" s="6604"/>
      <c r="EB54" s="18872"/>
      <c r="EC54" s="18873"/>
      <c r="ED54" s="18873"/>
      <c r="EE54" s="18873"/>
      <c r="EF54" s="18873"/>
      <c r="EG54" s="18873"/>
      <c r="EH54" s="18873"/>
      <c r="EI54" s="18873"/>
      <c r="EJ54" s="18873"/>
      <c r="EK54" s="18873"/>
      <c r="EL54" s="18874"/>
      <c r="EM54" s="18872"/>
      <c r="EN54" s="18873"/>
      <c r="EO54" s="18873"/>
      <c r="EP54" s="18873"/>
      <c r="EQ54" s="18873"/>
      <c r="ER54" s="18873"/>
      <c r="ES54" s="18873"/>
      <c r="ET54" s="18873"/>
      <c r="EU54" s="18873"/>
      <c r="EV54" s="18873"/>
      <c r="EW54" s="18874"/>
      <c r="EX54" s="6604"/>
      <c r="EY54" s="7193" t="s">
        <v>570</v>
      </c>
      <c r="EZ54" s="6889"/>
      <c r="FA54" s="7194"/>
      <c r="FB54" s="7194" t="str">
        <f>IF(T54="","",T54)</f>
        <v>Наименование централизованной системы горячего водоснабжения</v>
      </c>
      <c r="FC54" s="7194"/>
      <c r="FD54" s="7194"/>
    </row>
    <row s="33351" customFormat="1" customHeight="1" ht="23.25">
      <c r="A55" s="7182"/>
      <c r="B55" s="7182"/>
      <c r="C55" s="7182"/>
      <c r="D55" s="7182"/>
      <c r="E55" s="7183"/>
      <c r="F55" s="7183">
        <v>1</v>
      </c>
      <c r="G55" s="7183"/>
      <c r="H55" s="7183"/>
      <c r="I55" s="7199" t="str">
        <f>S54&amp;".1"</f>
        <v>1.2.1.1</v>
      </c>
      <c r="J55" s="7182"/>
      <c r="K55" s="7182"/>
      <c r="L55" s="7185"/>
      <c r="M55" s="7200"/>
      <c r="N55" s="7200"/>
      <c r="O55" s="7200"/>
      <c r="P55" s="7201">
        <v>1</v>
      </c>
      <c r="Q55" s="7201"/>
      <c r="R55" s="7202"/>
      <c r="S55" s="7190" t="str">
        <f>$I55</f>
        <v>1.2.1.1</v>
      </c>
      <c r="T55" s="7203" t="s">
        <v>522</v>
      </c>
      <c r="U55" s="7192"/>
      <c r="V55" s="6605"/>
      <c r="W55" s="6606"/>
      <c r="X55" s="6606"/>
      <c r="Y55" s="6606"/>
      <c r="Z55" s="6606"/>
      <c r="AA55" s="6606"/>
      <c r="AB55" s="6606"/>
      <c r="AC55" s="6606"/>
      <c r="AD55" s="6606"/>
      <c r="AE55" s="6606"/>
      <c r="AF55" s="6607"/>
      <c r="AG55" s="7204"/>
      <c r="AH55" s="7205"/>
      <c r="AI55" s="7205"/>
      <c r="AJ55" s="7205"/>
      <c r="AK55" s="7205"/>
      <c r="AL55" s="7205"/>
      <c r="AM55" s="7205"/>
      <c r="AN55" s="7205"/>
      <c r="AO55" s="7205"/>
      <c r="AP55" s="7205"/>
      <c r="AQ55" s="7205"/>
      <c r="AR55" s="6605"/>
      <c r="AS55" s="6606"/>
      <c r="AT55" s="6606"/>
      <c r="AU55" s="6606"/>
      <c r="AV55" s="6606"/>
      <c r="AW55" s="6606"/>
      <c r="AX55" s="6606"/>
      <c r="AY55" s="6606"/>
      <c r="AZ55" s="6606"/>
      <c r="BA55" s="6606"/>
      <c r="BB55" s="6607"/>
      <c r="BC55" s="6605"/>
      <c r="BD55" s="6606"/>
      <c r="BE55" s="6606"/>
      <c r="BF55" s="6606"/>
      <c r="BG55" s="6606"/>
      <c r="BH55" s="6606"/>
      <c r="BI55" s="6606"/>
      <c r="BJ55" s="6606"/>
      <c r="BK55" s="6606"/>
      <c r="BL55" s="6606"/>
      <c r="BM55" s="6607"/>
      <c r="BN55" s="6605"/>
      <c r="BO55" s="6606"/>
      <c r="BP55" s="6606"/>
      <c r="BQ55" s="6606"/>
      <c r="BR55" s="6606"/>
      <c r="BS55" s="6606"/>
      <c r="BT55" s="6606"/>
      <c r="BU55" s="6606"/>
      <c r="BV55" s="6606"/>
      <c r="BW55" s="6606"/>
      <c r="BX55" s="6607"/>
      <c r="BY55" s="6605"/>
      <c r="BZ55" s="6606"/>
      <c r="CA55" s="6606"/>
      <c r="CB55" s="6606"/>
      <c r="CC55" s="6606"/>
      <c r="CD55" s="6606"/>
      <c r="CE55" s="6606"/>
      <c r="CF55" s="6606"/>
      <c r="CG55" s="6606"/>
      <c r="CH55" s="6606"/>
      <c r="CI55" s="6607"/>
      <c r="CJ55" s="6605"/>
      <c r="CK55" s="6606"/>
      <c r="CL55" s="6606"/>
      <c r="CM55" s="6606"/>
      <c r="CN55" s="6606"/>
      <c r="CO55" s="6606"/>
      <c r="CP55" s="6606"/>
      <c r="CQ55" s="6606"/>
      <c r="CR55" s="6606"/>
      <c r="CS55" s="6606"/>
      <c r="CT55" s="6607"/>
      <c r="CU55" s="6605"/>
      <c r="CV55" s="6606"/>
      <c r="CW55" s="6606"/>
      <c r="CX55" s="6606"/>
      <c r="CY55" s="6606"/>
      <c r="CZ55" s="6606"/>
      <c r="DA55" s="6606"/>
      <c r="DB55" s="6606"/>
      <c r="DC55" s="6606"/>
      <c r="DD55" s="6606"/>
      <c r="DE55" s="6607"/>
      <c r="DF55" s="6605"/>
      <c r="DG55" s="6606"/>
      <c r="DH55" s="6606"/>
      <c r="DI55" s="6606"/>
      <c r="DJ55" s="6606"/>
      <c r="DK55" s="6606"/>
      <c r="DL55" s="6606"/>
      <c r="DM55" s="6606"/>
      <c r="DN55" s="6606"/>
      <c r="DO55" s="6606"/>
      <c r="DP55" s="6607"/>
      <c r="DQ55" s="6605"/>
      <c r="DR55" s="6606"/>
      <c r="DS55" s="6606"/>
      <c r="DT55" s="6606"/>
      <c r="DU55" s="6606"/>
      <c r="DV55" s="6606"/>
      <c r="DW55" s="6606"/>
      <c r="DX55" s="6606"/>
      <c r="DY55" s="6606"/>
      <c r="DZ55" s="6606"/>
      <c r="EA55" s="6607"/>
      <c r="EB55" s="18878"/>
      <c r="EC55" s="18879"/>
      <c r="ED55" s="18879"/>
      <c r="EE55" s="18879"/>
      <c r="EF55" s="18879"/>
      <c r="EG55" s="18879"/>
      <c r="EH55" s="18879"/>
      <c r="EI55" s="18879"/>
      <c r="EJ55" s="18879"/>
      <c r="EK55" s="18879"/>
      <c r="EL55" s="18880"/>
      <c r="EM55" s="18878"/>
      <c r="EN55" s="18879"/>
      <c r="EO55" s="18879"/>
      <c r="EP55" s="18879"/>
      <c r="EQ55" s="18879"/>
      <c r="ER55" s="18879"/>
      <c r="ES55" s="18879"/>
      <c r="ET55" s="18879"/>
      <c r="EU55" s="18879"/>
      <c r="EV55" s="18879"/>
      <c r="EW55" s="18880"/>
      <c r="EX55" s="7206"/>
      <c r="EY55" s="7193" t="s">
        <v>523</v>
      </c>
      <c r="EZ55" s="6889"/>
      <c r="FA55" s="7194"/>
      <c r="FB55" s="7194" t="str">
        <f>IF(T55="","",T55)</f>
        <v>Наименование признака дифференциации</v>
      </c>
      <c r="FC55" s="7194"/>
      <c r="FD55" s="7194"/>
    </row>
    <row s="33360" customFormat="1" customHeight="1" ht="23.25">
      <c r="A56" s="7182"/>
      <c r="B56" s="7182"/>
      <c r="C56" s="7182"/>
      <c r="D56" s="7182"/>
      <c r="E56" s="7183"/>
      <c r="F56" s="7183">
        <v>1</v>
      </c>
      <c r="G56" s="7183"/>
      <c r="H56" s="7183"/>
      <c r="I56" s="7208"/>
      <c r="J56" s="7199" t="str">
        <f>I55&amp;".1"</f>
        <v>1.2.1.1.1</v>
      </c>
      <c r="K56" s="7182"/>
      <c r="L56" s="7185" t="s">
        <v>447</v>
      </c>
      <c r="M56" s="7200"/>
      <c r="N56" s="7200"/>
      <c r="O56" s="7200"/>
      <c r="P56" s="7201"/>
      <c r="Q56" s="7201">
        <v>1</v>
      </c>
      <c r="R56" s="7209"/>
      <c r="S56" s="7190" t="str">
        <f>$J56</f>
        <v>1.2.1.1.1</v>
      </c>
      <c r="T56" s="7210" t="s">
        <v>448</v>
      </c>
      <c r="U56" s="7192"/>
      <c r="V56" s="6608"/>
      <c r="W56" s="6609"/>
      <c r="X56" s="6609"/>
      <c r="Y56" s="6609"/>
      <c r="Z56" s="6609"/>
      <c r="AA56" s="6609"/>
      <c r="AB56" s="6609"/>
      <c r="AC56" s="6609"/>
      <c r="AD56" s="6609"/>
      <c r="AE56" s="6609"/>
      <c r="AF56" s="6610"/>
      <c r="AG56" s="6608" t="s">
        <v>582</v>
      </c>
      <c r="AH56" s="6609"/>
      <c r="AI56" s="6609"/>
      <c r="AJ56" s="6609"/>
      <c r="AK56" s="6609"/>
      <c r="AL56" s="6609"/>
      <c r="AM56" s="6609"/>
      <c r="AN56" s="6609"/>
      <c r="AO56" s="6609"/>
      <c r="AP56" s="6609"/>
      <c r="AQ56" s="6609"/>
      <c r="AR56" s="6608"/>
      <c r="AS56" s="6609"/>
      <c r="AT56" s="6609"/>
      <c r="AU56" s="6609"/>
      <c r="AV56" s="6609"/>
      <c r="AW56" s="6609"/>
      <c r="AX56" s="6609"/>
      <c r="AY56" s="6609"/>
      <c r="AZ56" s="6609"/>
      <c r="BA56" s="6609"/>
      <c r="BB56" s="6610"/>
      <c r="BC56" s="6608"/>
      <c r="BD56" s="6609"/>
      <c r="BE56" s="6609"/>
      <c r="BF56" s="6609"/>
      <c r="BG56" s="6609"/>
      <c r="BH56" s="6609"/>
      <c r="BI56" s="6609"/>
      <c r="BJ56" s="6609"/>
      <c r="BK56" s="6609"/>
      <c r="BL56" s="6609"/>
      <c r="BM56" s="6610"/>
      <c r="BN56" s="6608"/>
      <c r="BO56" s="6609"/>
      <c r="BP56" s="6609"/>
      <c r="BQ56" s="6609"/>
      <c r="BR56" s="6609"/>
      <c r="BS56" s="6609"/>
      <c r="BT56" s="6609"/>
      <c r="BU56" s="6609"/>
      <c r="BV56" s="6609"/>
      <c r="BW56" s="6609"/>
      <c r="BX56" s="6610"/>
      <c r="BY56" s="6608"/>
      <c r="BZ56" s="6609"/>
      <c r="CA56" s="6609"/>
      <c r="CB56" s="6609"/>
      <c r="CC56" s="6609"/>
      <c r="CD56" s="6609"/>
      <c r="CE56" s="6609"/>
      <c r="CF56" s="6609"/>
      <c r="CG56" s="6609"/>
      <c r="CH56" s="6609"/>
      <c r="CI56" s="6610"/>
      <c r="CJ56" s="6608"/>
      <c r="CK56" s="6609"/>
      <c r="CL56" s="6609"/>
      <c r="CM56" s="6609"/>
      <c r="CN56" s="6609"/>
      <c r="CO56" s="6609"/>
      <c r="CP56" s="6609"/>
      <c r="CQ56" s="6609"/>
      <c r="CR56" s="6609"/>
      <c r="CS56" s="6609"/>
      <c r="CT56" s="6610"/>
      <c r="CU56" s="6608"/>
      <c r="CV56" s="6609"/>
      <c r="CW56" s="6609"/>
      <c r="CX56" s="6609"/>
      <c r="CY56" s="6609"/>
      <c r="CZ56" s="6609"/>
      <c r="DA56" s="6609"/>
      <c r="DB56" s="6609"/>
      <c r="DC56" s="6609"/>
      <c r="DD56" s="6609"/>
      <c r="DE56" s="6610"/>
      <c r="DF56" s="6608"/>
      <c r="DG56" s="6609"/>
      <c r="DH56" s="6609"/>
      <c r="DI56" s="6609"/>
      <c r="DJ56" s="6609"/>
      <c r="DK56" s="6609"/>
      <c r="DL56" s="6609"/>
      <c r="DM56" s="6609"/>
      <c r="DN56" s="6609"/>
      <c r="DO56" s="6609"/>
      <c r="DP56" s="6610"/>
      <c r="DQ56" s="6608"/>
      <c r="DR56" s="6609"/>
      <c r="DS56" s="6609"/>
      <c r="DT56" s="6609"/>
      <c r="DU56" s="6609"/>
      <c r="DV56" s="6609"/>
      <c r="DW56" s="6609"/>
      <c r="DX56" s="6609"/>
      <c r="DY56" s="6609"/>
      <c r="DZ56" s="6609"/>
      <c r="EA56" s="6610"/>
      <c r="EB56" s="18884"/>
      <c r="EC56" s="18885"/>
      <c r="ED56" s="18885"/>
      <c r="EE56" s="18885"/>
      <c r="EF56" s="18885"/>
      <c r="EG56" s="18885"/>
      <c r="EH56" s="18885"/>
      <c r="EI56" s="18885"/>
      <c r="EJ56" s="18885"/>
      <c r="EK56" s="18885"/>
      <c r="EL56" s="18886"/>
      <c r="EM56" s="18884"/>
      <c r="EN56" s="18885"/>
      <c r="EO56" s="18885"/>
      <c r="EP56" s="18885"/>
      <c r="EQ56" s="18885"/>
      <c r="ER56" s="18885"/>
      <c r="ES56" s="18885"/>
      <c r="ET56" s="18885"/>
      <c r="EU56" s="18885"/>
      <c r="EV56" s="18885"/>
      <c r="EW56" s="18886"/>
      <c r="EX56" s="6610"/>
      <c r="EY56" s="7211" t="s">
        <v>524</v>
      </c>
      <c r="EZ56" s="6889"/>
      <c r="FA56" s="7194"/>
      <c r="FB56" s="7194" t="str">
        <f>IF(T56="","",T56)</f>
        <v>Группа потребителей</v>
      </c>
      <c r="FC56" s="7194"/>
      <c r="FD56" s="7194"/>
    </row>
    <row s="33365" customFormat="1" customHeight="1" ht="23.25">
      <c r="A57" s="7182"/>
      <c r="B57" s="7182"/>
      <c r="C57" s="7182"/>
      <c r="D57" s="7182"/>
      <c r="E57" s="7183"/>
      <c r="F57" s="7183">
        <v>1</v>
      </c>
      <c r="G57" s="7183"/>
      <c r="H57" s="7183"/>
      <c r="I57" s="7208"/>
      <c r="J57" s="7208"/>
      <c r="K57" s="7199" t="str">
        <f>J56&amp;".1"</f>
        <v>1.2.1.1.1.1</v>
      </c>
      <c r="L57" s="7185"/>
      <c r="M57" s="7200"/>
      <c r="N57" s="7200"/>
      <c r="O57" s="7200"/>
      <c r="P57" s="7201"/>
      <c r="Q57" s="7201"/>
      <c r="R57" s="7209">
        <v>1</v>
      </c>
      <c r="S57" s="7190" t="str">
        <f>$K57</f>
        <v>1.2.1.1.1.1</v>
      </c>
      <c r="T57" s="7213"/>
      <c r="U57" s="7192"/>
      <c r="V57" s="6611"/>
      <c r="W57" s="6611"/>
      <c r="X57" s="6611"/>
      <c r="Y57" s="6611"/>
      <c r="Z57" s="6611"/>
      <c r="AA57" s="6611"/>
      <c r="AB57" s="6611"/>
      <c r="AC57" s="6612"/>
      <c r="AD57" s="6613" t="s">
        <v>66</v>
      </c>
      <c r="AE57" s="6612"/>
      <c r="AF57" s="6613" t="s">
        <v>66</v>
      </c>
      <c r="AG57" s="6611">
        <v>55.57</v>
      </c>
      <c r="AH57" s="6611"/>
      <c r="AI57" s="6611"/>
      <c r="AJ57" s="6611"/>
      <c r="AK57" s="6611">
        <v>4813.99</v>
      </c>
      <c r="AL57" s="6611"/>
      <c r="AM57" s="6611"/>
      <c r="AN57" s="18891">
        <v>44896</v>
      </c>
      <c r="AO57" s="6613" t="s">
        <v>66</v>
      </c>
      <c r="AP57" s="19294">
        <v>45291</v>
      </c>
      <c r="AQ57" s="6613" t="s">
        <v>66</v>
      </c>
      <c r="AR57" s="6611">
        <v>55.57</v>
      </c>
      <c r="AS57" s="6611"/>
      <c r="AT57" s="6611"/>
      <c r="AU57" s="6611"/>
      <c r="AV57" s="6611">
        <v>4813.99</v>
      </c>
      <c r="AW57" s="6611"/>
      <c r="AX57" s="6611"/>
      <c r="AY57" s="18891">
        <v>45292</v>
      </c>
      <c r="AZ57" s="6613" t="s">
        <v>66</v>
      </c>
      <c r="BA57" s="18891">
        <v>45473</v>
      </c>
      <c r="BB57" s="6613" t="s">
        <v>66</v>
      </c>
      <c r="BC57" s="6611">
        <v>68.27</v>
      </c>
      <c r="BD57" s="6611"/>
      <c r="BE57" s="6611"/>
      <c r="BF57" s="6611"/>
      <c r="BG57" s="6611">
        <v>8334.17</v>
      </c>
      <c r="BH57" s="6611"/>
      <c r="BI57" s="6611"/>
      <c r="BJ57" s="18891">
        <v>45474</v>
      </c>
      <c r="BK57" s="6613" t="s">
        <v>66</v>
      </c>
      <c r="BL57" s="18891">
        <v>45657</v>
      </c>
      <c r="BM57" s="6613" t="s">
        <v>66</v>
      </c>
      <c r="BN57" s="6611">
        <v>57.47</v>
      </c>
      <c r="BO57" s="6611"/>
      <c r="BP57" s="6611"/>
      <c r="BQ57" s="6611"/>
      <c r="BR57" s="6611">
        <v>5632.11</v>
      </c>
      <c r="BS57" s="6611"/>
      <c r="BT57" s="6611"/>
      <c r="BU57" s="18891">
        <v>45658</v>
      </c>
      <c r="BV57" s="6613" t="s">
        <v>66</v>
      </c>
      <c r="BW57" s="18891">
        <v>45838</v>
      </c>
      <c r="BX57" s="6613" t="s">
        <v>66</v>
      </c>
      <c r="BY57" s="6611">
        <v>59.77</v>
      </c>
      <c r="BZ57" s="6611"/>
      <c r="CA57" s="6611"/>
      <c r="CB57" s="6611"/>
      <c r="CC57" s="6611">
        <v>5632.11</v>
      </c>
      <c r="CD57" s="6611"/>
      <c r="CE57" s="6611"/>
      <c r="CF57" s="18891">
        <v>45839</v>
      </c>
      <c r="CG57" s="6613" t="s">
        <v>66</v>
      </c>
      <c r="CH57" s="18891">
        <v>46022</v>
      </c>
      <c r="CI57" s="6613" t="s">
        <v>66</v>
      </c>
      <c r="CJ57" s="6611">
        <v>59.77</v>
      </c>
      <c r="CK57" s="6611"/>
      <c r="CL57" s="6611"/>
      <c r="CM57" s="6611"/>
      <c r="CN57" s="6611">
        <v>5447.03</v>
      </c>
      <c r="CO57" s="6611"/>
      <c r="CP57" s="6611"/>
      <c r="CQ57" s="18891">
        <v>46023</v>
      </c>
      <c r="CR57" s="6613" t="s">
        <v>66</v>
      </c>
      <c r="CS57" s="18891">
        <v>46203</v>
      </c>
      <c r="CT57" s="6613" t="s">
        <v>66</v>
      </c>
      <c r="CU57" s="6611">
        <v>62.58</v>
      </c>
      <c r="CV57" s="6611"/>
      <c r="CW57" s="6611"/>
      <c r="CX57" s="6611"/>
      <c r="CY57" s="6611">
        <v>5447.03</v>
      </c>
      <c r="CZ57" s="6611"/>
      <c r="DA57" s="6611"/>
      <c r="DB57" s="18891">
        <v>46204</v>
      </c>
      <c r="DC57" s="6613" t="s">
        <v>66</v>
      </c>
      <c r="DD57" s="18891">
        <v>46387</v>
      </c>
      <c r="DE57" s="6613" t="s">
        <v>66</v>
      </c>
      <c r="DF57" s="6611">
        <v>62.58</v>
      </c>
      <c r="DG57" s="6611"/>
      <c r="DH57" s="6611"/>
      <c r="DI57" s="6611"/>
      <c r="DJ57" s="6611">
        <v>5447.03</v>
      </c>
      <c r="DK57" s="6611"/>
      <c r="DL57" s="6611"/>
      <c r="DM57" s="18891">
        <v>46388</v>
      </c>
      <c r="DN57" s="6613" t="s">
        <v>66</v>
      </c>
      <c r="DO57" s="18891">
        <v>46568</v>
      </c>
      <c r="DP57" s="6613" t="s">
        <v>66</v>
      </c>
      <c r="DQ57" s="6611">
        <v>65.52</v>
      </c>
      <c r="DR57" s="6611"/>
      <c r="DS57" s="6611"/>
      <c r="DT57" s="6611"/>
      <c r="DU57" s="6611">
        <v>5884.44</v>
      </c>
      <c r="DV57" s="6611"/>
      <c r="DW57" s="6611"/>
      <c r="DX57" s="18891">
        <v>46569</v>
      </c>
      <c r="DY57" s="6613" t="s">
        <v>66</v>
      </c>
      <c r="DZ57" s="18891">
        <v>46752</v>
      </c>
      <c r="EA57" s="6613" t="s">
        <v>66</v>
      </c>
      <c r="EB57" s="18890">
        <v>65.52</v>
      </c>
      <c r="EC57" s="18890"/>
      <c r="ED57" s="18890"/>
      <c r="EE57" s="18890"/>
      <c r="EF57" s="18890">
        <v>5768.35</v>
      </c>
      <c r="EG57" s="18890"/>
      <c r="EH57" s="18890"/>
      <c r="EI57" s="18891">
        <v>46753</v>
      </c>
      <c r="EJ57" s="18892" t="s">
        <v>66</v>
      </c>
      <c r="EK57" s="18891">
        <v>46934</v>
      </c>
      <c r="EL57" s="18892" t="s">
        <v>66</v>
      </c>
      <c r="EM57" s="18890">
        <v>68.6</v>
      </c>
      <c r="EN57" s="18890"/>
      <c r="EO57" s="18890"/>
      <c r="EP57" s="18890"/>
      <c r="EQ57" s="18890">
        <v>5768.35</v>
      </c>
      <c r="ER57" s="18890"/>
      <c r="ES57" s="18890"/>
      <c r="ET57" s="18891">
        <v>46935</v>
      </c>
      <c r="EU57" s="18892" t="s">
        <v>66</v>
      </c>
      <c r="EV57" s="18891">
        <v>47118</v>
      </c>
      <c r="EW57" s="18892" t="s">
        <v>66</v>
      </c>
      <c r="EX57" s="7214"/>
      <c r="EY57" s="72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Z57" s="6889">
        <f>STRCHECKDATE(V58:EX58)</f>
      </c>
      <c r="FA57" s="7194"/>
      <c r="FB57" s="7194" t="str">
        <f>IF(T57="","",T57)</f>
        <v/>
      </c>
      <c r="FC57" s="7194"/>
      <c r="FD57" s="7194"/>
    </row>
    <row s="33369" customFormat="1" customHeight="1" ht="14.25">
      <c r="A58" s="7182"/>
      <c r="B58" s="7182"/>
      <c r="C58" s="7182"/>
      <c r="D58" s="7182"/>
      <c r="E58" s="7183"/>
      <c r="F58" s="7183">
        <v>1</v>
      </c>
      <c r="G58" s="7183"/>
      <c r="H58" s="7183"/>
      <c r="I58" s="7208"/>
      <c r="J58" s="7208"/>
      <c r="K58" s="7199"/>
      <c r="L58" s="7185"/>
      <c r="M58" s="7200"/>
      <c r="N58" s="7200"/>
      <c r="O58" s="7200"/>
      <c r="P58" s="7201"/>
      <c r="Q58" s="7201"/>
      <c r="R58" s="7209"/>
      <c r="S58" s="7217"/>
      <c r="T58" s="7192"/>
      <c r="U58" s="7192"/>
      <c r="V58" s="6614"/>
      <c r="W58" s="6614"/>
      <c r="X58" s="6614"/>
      <c r="Y58" s="6614"/>
      <c r="Z58" s="6614"/>
      <c r="AA58" s="6614"/>
      <c r="AB58" s="6614"/>
      <c r="AC58" s="6615"/>
      <c r="AD58" s="6613"/>
      <c r="AE58" s="6615"/>
      <c r="AF58" s="6613"/>
      <c r="AG58" s="6614"/>
      <c r="AH58" s="6614"/>
      <c r="AI58" s="6614"/>
      <c r="AJ58" s="6614"/>
      <c r="AK58" s="6614"/>
      <c r="AL58" s="6614"/>
      <c r="AM58" s="6614"/>
      <c r="AN58" s="6615"/>
      <c r="AO58" s="6613"/>
      <c r="AP58" s="6916"/>
      <c r="AQ58" s="6613"/>
      <c r="AR58" s="6614"/>
      <c r="AS58" s="6614"/>
      <c r="AT58" s="6614"/>
      <c r="AU58" s="6614"/>
      <c r="AV58" s="6614"/>
      <c r="AW58" s="6614"/>
      <c r="AX58" s="6614"/>
      <c r="AY58" s="6615"/>
      <c r="AZ58" s="6613"/>
      <c r="BA58" s="6615"/>
      <c r="BB58" s="6613"/>
      <c r="BC58" s="6614"/>
      <c r="BD58" s="6614"/>
      <c r="BE58" s="6614"/>
      <c r="BF58" s="6614"/>
      <c r="BG58" s="6614"/>
      <c r="BH58" s="6614"/>
      <c r="BI58" s="6614"/>
      <c r="BJ58" s="6615"/>
      <c r="BK58" s="6613"/>
      <c r="BL58" s="6615"/>
      <c r="BM58" s="6613"/>
      <c r="BN58" s="6614"/>
      <c r="BO58" s="6614"/>
      <c r="BP58" s="6614"/>
      <c r="BQ58" s="6614"/>
      <c r="BR58" s="6614"/>
      <c r="BS58" s="6614"/>
      <c r="BT58" s="6614"/>
      <c r="BU58" s="6615"/>
      <c r="BV58" s="6613"/>
      <c r="BW58" s="6615"/>
      <c r="BX58" s="6613"/>
      <c r="BY58" s="6614"/>
      <c r="BZ58" s="6614"/>
      <c r="CA58" s="6614"/>
      <c r="CB58" s="6614"/>
      <c r="CC58" s="6614"/>
      <c r="CD58" s="6614"/>
      <c r="CE58" s="6614"/>
      <c r="CF58" s="6615"/>
      <c r="CG58" s="6613"/>
      <c r="CH58" s="6615"/>
      <c r="CI58" s="6613"/>
      <c r="CJ58" s="6614"/>
      <c r="CK58" s="6614"/>
      <c r="CL58" s="6614"/>
      <c r="CM58" s="6614"/>
      <c r="CN58" s="6614"/>
      <c r="CO58" s="6614"/>
      <c r="CP58" s="6614"/>
      <c r="CQ58" s="6615"/>
      <c r="CR58" s="6613"/>
      <c r="CS58" s="6615"/>
      <c r="CT58" s="6613"/>
      <c r="CU58" s="6614"/>
      <c r="CV58" s="6614"/>
      <c r="CW58" s="6614"/>
      <c r="CX58" s="6614"/>
      <c r="CY58" s="6614"/>
      <c r="CZ58" s="6614"/>
      <c r="DA58" s="6614"/>
      <c r="DB58" s="6615"/>
      <c r="DC58" s="6613"/>
      <c r="DD58" s="6615"/>
      <c r="DE58" s="6613"/>
      <c r="DF58" s="6614"/>
      <c r="DG58" s="6614"/>
      <c r="DH58" s="6614"/>
      <c r="DI58" s="6614"/>
      <c r="DJ58" s="6614"/>
      <c r="DK58" s="6614"/>
      <c r="DL58" s="6614"/>
      <c r="DM58" s="6615"/>
      <c r="DN58" s="6613"/>
      <c r="DO58" s="6615"/>
      <c r="DP58" s="6613"/>
      <c r="DQ58" s="6614"/>
      <c r="DR58" s="6614"/>
      <c r="DS58" s="6614"/>
      <c r="DT58" s="6614"/>
      <c r="DU58" s="6614"/>
      <c r="DV58" s="6614"/>
      <c r="DW58" s="6614"/>
      <c r="DX58" s="6615"/>
      <c r="DY58" s="6613"/>
      <c r="DZ58" s="6615"/>
      <c r="EA58" s="6613"/>
      <c r="EB58" s="18895"/>
      <c r="EC58" s="18895"/>
      <c r="ED58" s="18895"/>
      <c r="EE58" s="18895"/>
      <c r="EF58" s="18895"/>
      <c r="EG58" s="18895"/>
      <c r="EH58" s="18895"/>
      <c r="EI58" s="18896"/>
      <c r="EJ58" s="18892"/>
      <c r="EK58" s="18896"/>
      <c r="EL58" s="18892"/>
      <c r="EM58" s="18895"/>
      <c r="EN58" s="18895"/>
      <c r="EO58" s="18895"/>
      <c r="EP58" s="18895"/>
      <c r="EQ58" s="18895"/>
      <c r="ER58" s="18895"/>
      <c r="ES58" s="18895"/>
      <c r="ET58" s="18896"/>
      <c r="EU58" s="18892"/>
      <c r="EV58" s="18896"/>
      <c r="EW58" s="18892"/>
      <c r="EX58" s="7218"/>
      <c r="EY58" s="7215"/>
      <c r="EZ58" s="6889"/>
      <c r="FA58" s="7194"/>
      <c r="FB58" s="7194" t="str">
        <f>IF(T58="","",T58)</f>
        <v/>
      </c>
      <c r="FC58" s="7194"/>
      <c r="FD58" s="7194"/>
    </row>
    <row s="33372" customFormat="1" customHeight="1" ht="21">
      <c r="A59" s="7182"/>
      <c r="B59" s="7182"/>
      <c r="C59" s="7182"/>
      <c r="D59" s="7182"/>
      <c r="E59" s="7183"/>
      <c r="F59" s="7183">
        <v>1</v>
      </c>
      <c r="G59" s="7183"/>
      <c r="H59" s="7183"/>
      <c r="I59" s="7208"/>
      <c r="J59" s="7199"/>
      <c r="K59" s="7182"/>
      <c r="L59" s="7185"/>
      <c r="M59" s="7200"/>
      <c r="N59" s="7200"/>
      <c r="O59" s="7200"/>
      <c r="P59" s="7201"/>
      <c r="Q59" s="7201"/>
      <c r="R59" s="7202"/>
      <c r="S59" s="7220"/>
      <c r="T59" s="7221" t="s">
        <v>525</v>
      </c>
      <c r="U59" s="7222"/>
      <c r="V59" s="7223"/>
      <c r="W59" s="7224"/>
      <c r="X59" s="7225"/>
      <c r="Y59" s="7226"/>
      <c r="Z59" s="7227"/>
      <c r="AA59" s="7228"/>
      <c r="AB59" s="7229"/>
      <c r="AC59" s="7230"/>
      <c r="AD59" s="7231"/>
      <c r="AE59" s="7232"/>
      <c r="AF59" s="7233"/>
      <c r="AG59" s="7234"/>
      <c r="AH59" s="7235"/>
      <c r="AI59" s="7236"/>
      <c r="AJ59" s="7237"/>
      <c r="AK59" s="7238"/>
      <c r="AL59" s="7239"/>
      <c r="AM59" s="7240"/>
      <c r="AN59" s="7241"/>
      <c r="AO59" s="7242"/>
      <c r="AP59" s="7243"/>
      <c r="AQ59" s="7244"/>
      <c r="AR59" s="7245"/>
      <c r="AS59" s="7246"/>
      <c r="AT59" s="7247"/>
      <c r="AU59" s="7248"/>
      <c r="AV59" s="7249"/>
      <c r="AW59" s="7250"/>
      <c r="AX59" s="7251"/>
      <c r="AY59" s="7252"/>
      <c r="AZ59" s="7253"/>
      <c r="BA59" s="7254"/>
      <c r="BB59" s="7255"/>
      <c r="BC59" s="7256"/>
      <c r="BD59" s="7257"/>
      <c r="BE59" s="7258"/>
      <c r="BF59" s="7259"/>
      <c r="BG59" s="7260"/>
      <c r="BH59" s="7261"/>
      <c r="BI59" s="7262"/>
      <c r="BJ59" s="7263"/>
      <c r="BK59" s="7264"/>
      <c r="BL59" s="7265"/>
      <c r="BM59" s="7266"/>
      <c r="BN59" s="7267"/>
      <c r="BO59" s="7268"/>
      <c r="BP59" s="7269"/>
      <c r="BQ59" s="7270"/>
      <c r="BR59" s="7271"/>
      <c r="BS59" s="7272"/>
      <c r="BT59" s="7273"/>
      <c r="BU59" s="7274"/>
      <c r="BV59" s="7275"/>
      <c r="BW59" s="7276"/>
      <c r="BX59" s="7277"/>
      <c r="BY59" s="7278"/>
      <c r="BZ59" s="7279"/>
      <c r="CA59" s="7280"/>
      <c r="CB59" s="7281"/>
      <c r="CC59" s="7282"/>
      <c r="CD59" s="7283"/>
      <c r="CE59" s="7284"/>
      <c r="CF59" s="7285"/>
      <c r="CG59" s="7286"/>
      <c r="CH59" s="7287"/>
      <c r="CI59" s="7288"/>
      <c r="CJ59" s="7289"/>
      <c r="CK59" s="7290"/>
      <c r="CL59" s="7291"/>
      <c r="CM59" s="7292"/>
      <c r="CN59" s="7293"/>
      <c r="CO59" s="7294"/>
      <c r="CP59" s="7295"/>
      <c r="CQ59" s="7296"/>
      <c r="CR59" s="7297"/>
      <c r="CS59" s="7298"/>
      <c r="CT59" s="7299"/>
      <c r="CU59" s="7300"/>
      <c r="CV59" s="7301"/>
      <c r="CW59" s="7302"/>
      <c r="CX59" s="7303"/>
      <c r="CY59" s="7304"/>
      <c r="CZ59" s="7305"/>
      <c r="DA59" s="7306"/>
      <c r="DB59" s="7307"/>
      <c r="DC59" s="7308"/>
      <c r="DD59" s="7309"/>
      <c r="DE59" s="7310"/>
      <c r="DF59" s="7311"/>
      <c r="DG59" s="7312"/>
      <c r="DH59" s="7313"/>
      <c r="DI59" s="7314"/>
      <c r="DJ59" s="7315"/>
      <c r="DK59" s="7316"/>
      <c r="DL59" s="7317"/>
      <c r="DM59" s="7318"/>
      <c r="DN59" s="7319"/>
      <c r="DO59" s="7320"/>
      <c r="DP59" s="7321"/>
      <c r="DQ59" s="7322"/>
      <c r="DR59" s="7323"/>
      <c r="DS59" s="7324"/>
      <c r="DT59" s="7325"/>
      <c r="DU59" s="7326"/>
      <c r="DV59" s="7327"/>
      <c r="DW59" s="7328"/>
      <c r="DX59" s="7329"/>
      <c r="DY59" s="7330"/>
      <c r="DZ59" s="7331"/>
      <c r="EA59" s="7332"/>
      <c r="EB59" s="19779"/>
      <c r="EC59" s="19780"/>
      <c r="ED59" s="19781"/>
      <c r="EE59" s="19782"/>
      <c r="EF59" s="19783"/>
      <c r="EG59" s="19784"/>
      <c r="EH59" s="19785"/>
      <c r="EI59" s="19786"/>
      <c r="EJ59" s="19787"/>
      <c r="EK59" s="19788"/>
      <c r="EL59" s="19789"/>
      <c r="EM59" s="19790"/>
      <c r="EN59" s="19791"/>
      <c r="EO59" s="19792"/>
      <c r="EP59" s="19793"/>
      <c r="EQ59" s="19794"/>
      <c r="ER59" s="19795"/>
      <c r="ES59" s="19796"/>
      <c r="ET59" s="19797"/>
      <c r="EU59" s="19798"/>
      <c r="EV59" s="19799"/>
      <c r="EW59" s="19800"/>
      <c r="EX59" s="7333"/>
      <c r="EY59" s="7193" t="s">
        <v>526</v>
      </c>
      <c r="EZ59" s="6889"/>
      <c r="FA59" s="7194"/>
      <c r="FB59" s="7194" t="str">
        <f>IF(T59="","",T59)</f>
        <v>Добавить значение признака дифференциации</v>
      </c>
      <c r="FC59" s="7194"/>
      <c r="FD59" s="7194"/>
    </row>
    <row s="33509" customFormat="1" customHeight="1" ht="21">
      <c r="A60" s="7182"/>
      <c r="B60" s="7182"/>
      <c r="C60" s="7182"/>
      <c r="D60" s="7182"/>
      <c r="E60" s="7183"/>
      <c r="F60" s="7183">
        <v>1</v>
      </c>
      <c r="G60" s="7183"/>
      <c r="H60" s="7183"/>
      <c r="I60" s="7199"/>
      <c r="J60" s="7182"/>
      <c r="K60" s="7182"/>
      <c r="L60" s="7185"/>
      <c r="M60" s="7200"/>
      <c r="N60" s="7200"/>
      <c r="O60" s="7200"/>
      <c r="P60" s="7201"/>
      <c r="Q60" s="7201"/>
      <c r="R60" s="7202"/>
      <c r="S60" s="7335"/>
      <c r="T60" s="7336" t="s">
        <v>453</v>
      </c>
      <c r="U60" s="7337"/>
      <c r="V60" s="7338"/>
      <c r="W60" s="7339"/>
      <c r="X60" s="7340"/>
      <c r="Y60" s="7341"/>
      <c r="Z60" s="7342"/>
      <c r="AA60" s="7343"/>
      <c r="AB60" s="7344"/>
      <c r="AC60" s="7345"/>
      <c r="AD60" s="7346"/>
      <c r="AE60" s="7347"/>
      <c r="AF60" s="7348"/>
      <c r="AG60" s="7349"/>
      <c r="AH60" s="7350"/>
      <c r="AI60" s="7351"/>
      <c r="AJ60" s="7352"/>
      <c r="AK60" s="7353"/>
      <c r="AL60" s="7354"/>
      <c r="AM60" s="7355"/>
      <c r="AN60" s="7356"/>
      <c r="AO60" s="7357"/>
      <c r="AP60" s="7358"/>
      <c r="AQ60" s="7359"/>
      <c r="AR60" s="7360"/>
      <c r="AS60" s="7361"/>
      <c r="AT60" s="7362"/>
      <c r="AU60" s="7363"/>
      <c r="AV60" s="7364"/>
      <c r="AW60" s="7365"/>
      <c r="AX60" s="7366"/>
      <c r="AY60" s="7367"/>
      <c r="AZ60" s="7368"/>
      <c r="BA60" s="7369"/>
      <c r="BB60" s="7370"/>
      <c r="BC60" s="7371"/>
      <c r="BD60" s="7372"/>
      <c r="BE60" s="7373"/>
      <c r="BF60" s="7374"/>
      <c r="BG60" s="7375"/>
      <c r="BH60" s="7376"/>
      <c r="BI60" s="7377"/>
      <c r="BJ60" s="7378"/>
      <c r="BK60" s="7379"/>
      <c r="BL60" s="7380"/>
      <c r="BM60" s="7381"/>
      <c r="BN60" s="7382"/>
      <c r="BO60" s="7383"/>
      <c r="BP60" s="7384"/>
      <c r="BQ60" s="7385"/>
      <c r="BR60" s="7386"/>
      <c r="BS60" s="7387"/>
      <c r="BT60" s="7388"/>
      <c r="BU60" s="7389"/>
      <c r="BV60" s="7390"/>
      <c r="BW60" s="7391"/>
      <c r="BX60" s="7392"/>
      <c r="BY60" s="7393"/>
      <c r="BZ60" s="7394"/>
      <c r="CA60" s="7395"/>
      <c r="CB60" s="7396"/>
      <c r="CC60" s="7397"/>
      <c r="CD60" s="7398"/>
      <c r="CE60" s="7399"/>
      <c r="CF60" s="7400"/>
      <c r="CG60" s="7401"/>
      <c r="CH60" s="7402"/>
      <c r="CI60" s="7403"/>
      <c r="CJ60" s="7404"/>
      <c r="CK60" s="7405"/>
      <c r="CL60" s="7406"/>
      <c r="CM60" s="7407"/>
      <c r="CN60" s="7408"/>
      <c r="CO60" s="7409"/>
      <c r="CP60" s="7410"/>
      <c r="CQ60" s="7411"/>
      <c r="CR60" s="7412"/>
      <c r="CS60" s="7413"/>
      <c r="CT60" s="7414"/>
      <c r="CU60" s="7415"/>
      <c r="CV60" s="7416"/>
      <c r="CW60" s="7417"/>
      <c r="CX60" s="7418"/>
      <c r="CY60" s="7419"/>
      <c r="CZ60" s="7420"/>
      <c r="DA60" s="7421"/>
      <c r="DB60" s="7422"/>
      <c r="DC60" s="7423"/>
      <c r="DD60" s="7424"/>
      <c r="DE60" s="7425"/>
      <c r="DF60" s="7426"/>
      <c r="DG60" s="7427"/>
      <c r="DH60" s="7428"/>
      <c r="DI60" s="7429"/>
      <c r="DJ60" s="7430"/>
      <c r="DK60" s="7431"/>
      <c r="DL60" s="7432"/>
      <c r="DM60" s="7433"/>
      <c r="DN60" s="7434"/>
      <c r="DO60" s="7435"/>
      <c r="DP60" s="7436"/>
      <c r="DQ60" s="7437"/>
      <c r="DR60" s="7438"/>
      <c r="DS60" s="7439"/>
      <c r="DT60" s="7440"/>
      <c r="DU60" s="7441"/>
      <c r="DV60" s="7442"/>
      <c r="DW60" s="7443"/>
      <c r="DX60" s="7444"/>
      <c r="DY60" s="7445"/>
      <c r="DZ60" s="7446"/>
      <c r="EA60" s="7447"/>
      <c r="EB60" s="19916"/>
      <c r="EC60" s="19917"/>
      <c r="ED60" s="19918"/>
      <c r="EE60" s="19919"/>
      <c r="EF60" s="19920"/>
      <c r="EG60" s="19921"/>
      <c r="EH60" s="19922"/>
      <c r="EI60" s="19923"/>
      <c r="EJ60" s="19924"/>
      <c r="EK60" s="19925"/>
      <c r="EL60" s="19926"/>
      <c r="EM60" s="19927"/>
      <c r="EN60" s="19928"/>
      <c r="EO60" s="19929"/>
      <c r="EP60" s="19930"/>
      <c r="EQ60" s="19931"/>
      <c r="ER60" s="19932"/>
      <c r="ES60" s="19933"/>
      <c r="ET60" s="19934"/>
      <c r="EU60" s="19935"/>
      <c r="EV60" s="19936"/>
      <c r="EW60" s="19937"/>
      <c r="EX60" s="7448"/>
      <c r="EY60" s="7449"/>
      <c r="EZ60" s="6889"/>
      <c r="FA60" s="7194"/>
      <c r="FB60" s="7194" t="str">
        <f>IF(T60="","",T60)</f>
        <v>Добавить группу потребителей</v>
      </c>
      <c r="FC60" s="7194"/>
      <c r="FD60" s="7194"/>
    </row>
    <row s="33647" customFormat="1" customHeight="1" ht="21">
      <c r="A61" s="7182"/>
      <c r="B61" s="7182"/>
      <c r="C61" s="7182"/>
      <c r="D61" s="7182"/>
      <c r="E61" s="7183"/>
      <c r="F61" s="7183">
        <v>1</v>
      </c>
      <c r="G61" s="7183"/>
      <c r="H61" s="7184"/>
      <c r="I61" s="7182"/>
      <c r="J61" s="7182"/>
      <c r="K61" s="7182"/>
      <c r="L61" s="7185"/>
      <c r="M61" s="7186"/>
      <c r="N61" s="7186"/>
      <c r="O61" s="6881"/>
      <c r="P61" s="7451"/>
      <c r="Q61" s="7452"/>
      <c r="R61" s="7453"/>
      <c r="S61" s="7454"/>
      <c r="T61" s="7455" t="s">
        <v>527</v>
      </c>
      <c r="U61" s="7456"/>
      <c r="V61" s="7457"/>
      <c r="W61" s="7458"/>
      <c r="X61" s="7459"/>
      <c r="Y61" s="7460"/>
      <c r="Z61" s="7461"/>
      <c r="AA61" s="7462"/>
      <c r="AB61" s="7463"/>
      <c r="AC61" s="7464"/>
      <c r="AD61" s="7465"/>
      <c r="AE61" s="7466"/>
      <c r="AF61" s="7467"/>
      <c r="AG61" s="7468"/>
      <c r="AH61" s="7469"/>
      <c r="AI61" s="7470"/>
      <c r="AJ61" s="7471"/>
      <c r="AK61" s="7472"/>
      <c r="AL61" s="7473"/>
      <c r="AM61" s="7474"/>
      <c r="AN61" s="7475"/>
      <c r="AO61" s="7476"/>
      <c r="AP61" s="7477"/>
      <c r="AQ61" s="7478"/>
      <c r="AR61" s="7479"/>
      <c r="AS61" s="7480"/>
      <c r="AT61" s="7481"/>
      <c r="AU61" s="7482"/>
      <c r="AV61" s="7483"/>
      <c r="AW61" s="7484"/>
      <c r="AX61" s="7485"/>
      <c r="AY61" s="7486"/>
      <c r="AZ61" s="7487"/>
      <c r="BA61" s="7488"/>
      <c r="BB61" s="7489"/>
      <c r="BC61" s="7490"/>
      <c r="BD61" s="7491"/>
      <c r="BE61" s="7492"/>
      <c r="BF61" s="7493"/>
      <c r="BG61" s="7494"/>
      <c r="BH61" s="7495"/>
      <c r="BI61" s="7496"/>
      <c r="BJ61" s="7497"/>
      <c r="BK61" s="7498"/>
      <c r="BL61" s="7499"/>
      <c r="BM61" s="7500"/>
      <c r="BN61" s="7501"/>
      <c r="BO61" s="7502"/>
      <c r="BP61" s="7503"/>
      <c r="BQ61" s="7504"/>
      <c r="BR61" s="7505"/>
      <c r="BS61" s="7506"/>
      <c r="BT61" s="7507"/>
      <c r="BU61" s="7508"/>
      <c r="BV61" s="7509"/>
      <c r="BW61" s="7510"/>
      <c r="BX61" s="7511"/>
      <c r="BY61" s="7512"/>
      <c r="BZ61" s="7513"/>
      <c r="CA61" s="7514"/>
      <c r="CB61" s="7515"/>
      <c r="CC61" s="7516"/>
      <c r="CD61" s="7517"/>
      <c r="CE61" s="7518"/>
      <c r="CF61" s="7519"/>
      <c r="CG61" s="7520"/>
      <c r="CH61" s="7521"/>
      <c r="CI61" s="7522"/>
      <c r="CJ61" s="7523"/>
      <c r="CK61" s="7524"/>
      <c r="CL61" s="7525"/>
      <c r="CM61" s="7526"/>
      <c r="CN61" s="7527"/>
      <c r="CO61" s="7528"/>
      <c r="CP61" s="7529"/>
      <c r="CQ61" s="7530"/>
      <c r="CR61" s="7531"/>
      <c r="CS61" s="7532"/>
      <c r="CT61" s="7533"/>
      <c r="CU61" s="7534"/>
      <c r="CV61" s="7535"/>
      <c r="CW61" s="7536"/>
      <c r="CX61" s="7537"/>
      <c r="CY61" s="7538"/>
      <c r="CZ61" s="7539"/>
      <c r="DA61" s="7540"/>
      <c r="DB61" s="7541"/>
      <c r="DC61" s="7542"/>
      <c r="DD61" s="7543"/>
      <c r="DE61" s="7544"/>
      <c r="DF61" s="7545"/>
      <c r="DG61" s="7546"/>
      <c r="DH61" s="7547"/>
      <c r="DI61" s="7548"/>
      <c r="DJ61" s="7549"/>
      <c r="DK61" s="7550"/>
      <c r="DL61" s="7551"/>
      <c r="DM61" s="7552"/>
      <c r="DN61" s="7553"/>
      <c r="DO61" s="7554"/>
      <c r="DP61" s="7555"/>
      <c r="DQ61" s="7556"/>
      <c r="DR61" s="7557"/>
      <c r="DS61" s="7558"/>
      <c r="DT61" s="7559"/>
      <c r="DU61" s="7560"/>
      <c r="DV61" s="7561"/>
      <c r="DW61" s="7562"/>
      <c r="DX61" s="7563"/>
      <c r="DY61" s="7564"/>
      <c r="DZ61" s="7565"/>
      <c r="EA61" s="7566"/>
      <c r="EB61" s="20057"/>
      <c r="EC61" s="20058"/>
      <c r="ED61" s="20059"/>
      <c r="EE61" s="20060"/>
      <c r="EF61" s="20061"/>
      <c r="EG61" s="20062"/>
      <c r="EH61" s="20063"/>
      <c r="EI61" s="20064"/>
      <c r="EJ61" s="20065"/>
      <c r="EK61" s="20066"/>
      <c r="EL61" s="20067"/>
      <c r="EM61" s="20068"/>
      <c r="EN61" s="20069"/>
      <c r="EO61" s="20070"/>
      <c r="EP61" s="20071"/>
      <c r="EQ61" s="20072"/>
      <c r="ER61" s="20073"/>
      <c r="ES61" s="20074"/>
      <c r="ET61" s="20075"/>
      <c r="EU61" s="20076"/>
      <c r="EV61" s="20077"/>
      <c r="EW61" s="20078"/>
      <c r="EX61" s="7567"/>
      <c r="EY61" s="7568"/>
      <c r="EZ61" s="6889"/>
      <c r="FA61" s="7194"/>
      <c r="FB61" s="7194" t="str">
        <f>IF(T61="","",T61)</f>
        <v>Добавить наименование признака дифференциации</v>
      </c>
      <c r="FC61" s="7194"/>
      <c r="FD61" s="7194"/>
    </row>
    <row s="33788" customFormat="1" customHeight="1" ht="14.25">
      <c r="A62" s="7570"/>
      <c r="B62" s="7570"/>
      <c r="C62" s="7570"/>
      <c r="D62" s="7570"/>
      <c r="E62" s="7183"/>
      <c r="F62" s="7184">
        <v>1</v>
      </c>
      <c r="G62" s="7570"/>
      <c r="H62" s="7570"/>
      <c r="I62" s="7570"/>
      <c r="J62" s="7570"/>
      <c r="K62" s="7570"/>
      <c r="L62" s="7571"/>
      <c r="M62" s="7572"/>
      <c r="N62" s="7572"/>
      <c r="O62" s="6889"/>
      <c r="P62" s="7573"/>
      <c r="Q62" s="7574"/>
      <c r="R62" s="7573"/>
      <c r="S62" s="7575"/>
      <c r="T62" s="7576" t="s">
        <v>262</v>
      </c>
      <c r="U62" s="6880"/>
      <c r="V62" s="6880"/>
      <c r="W62" s="6880"/>
      <c r="X62" s="6880"/>
      <c r="Y62" s="6880"/>
      <c r="Z62" s="6880"/>
      <c r="AA62" s="6880"/>
      <c r="AB62" s="6880"/>
      <c r="AC62" s="6880"/>
      <c r="AD62" s="6880"/>
      <c r="AE62" s="6880"/>
      <c r="AF62" s="6880"/>
      <c r="AG62" s="6880"/>
      <c r="AH62" s="6880"/>
      <c r="AI62" s="6880"/>
      <c r="AJ62" s="6880"/>
      <c r="AK62" s="6880"/>
      <c r="AL62" s="6880"/>
      <c r="AM62" s="6880"/>
      <c r="AN62" s="6880"/>
      <c r="AO62" s="6880"/>
      <c r="AP62" s="6880"/>
      <c r="AQ62" s="6880"/>
      <c r="AR62" s="6880"/>
      <c r="AS62" s="6880"/>
      <c r="AT62" s="6880"/>
      <c r="AU62" s="6880"/>
      <c r="AV62" s="6880"/>
      <c r="AW62" s="6880"/>
      <c r="AX62" s="6880"/>
      <c r="AY62" s="6880"/>
      <c r="AZ62" s="6880"/>
      <c r="BA62" s="6880"/>
      <c r="BB62" s="6880"/>
      <c r="BC62" s="6880"/>
      <c r="BD62" s="6880"/>
      <c r="BE62" s="6880"/>
      <c r="BF62" s="6880"/>
      <c r="BG62" s="6880"/>
      <c r="BH62" s="6880"/>
      <c r="BI62" s="6880"/>
      <c r="BJ62" s="6880"/>
      <c r="BK62" s="6880"/>
      <c r="BL62" s="6880"/>
      <c r="BM62" s="6880"/>
      <c r="BN62" s="6880"/>
      <c r="BO62" s="6880"/>
      <c r="BP62" s="6880"/>
      <c r="BQ62" s="6880"/>
      <c r="BR62" s="6880"/>
      <c r="BS62" s="6880"/>
      <c r="BT62" s="6880"/>
      <c r="BU62" s="6880"/>
      <c r="BV62" s="6880"/>
      <c r="BW62" s="6880"/>
      <c r="BX62" s="6880"/>
      <c r="BY62" s="6880"/>
      <c r="BZ62" s="6880"/>
      <c r="CA62" s="6880"/>
      <c r="CB62" s="6880"/>
      <c r="CC62" s="6880"/>
      <c r="CD62" s="6880"/>
      <c r="CE62" s="6880"/>
      <c r="CF62" s="6880"/>
      <c r="CG62" s="6880"/>
      <c r="CH62" s="6880"/>
      <c r="CI62" s="6880"/>
      <c r="CJ62" s="6880"/>
      <c r="CK62" s="6880"/>
      <c r="CL62" s="6880"/>
      <c r="CM62" s="6880"/>
      <c r="CN62" s="6880"/>
      <c r="CO62" s="6880"/>
      <c r="CP62" s="6880"/>
      <c r="CQ62" s="6880"/>
      <c r="CR62" s="6880"/>
      <c r="CS62" s="6880"/>
      <c r="CT62" s="6880"/>
      <c r="CU62" s="6880"/>
      <c r="CV62" s="6880"/>
      <c r="CW62" s="6880"/>
      <c r="CX62" s="6880"/>
      <c r="CY62" s="6880"/>
      <c r="CZ62" s="6880"/>
      <c r="DA62" s="6880"/>
      <c r="DB62" s="6880"/>
      <c r="DC62" s="6880"/>
      <c r="DD62" s="6880"/>
      <c r="DE62" s="6880"/>
      <c r="DF62" s="6880"/>
      <c r="DG62" s="6880"/>
      <c r="DH62" s="6880"/>
      <c r="DI62" s="6880"/>
      <c r="DJ62" s="6880"/>
      <c r="DK62" s="6880"/>
      <c r="DL62" s="6880"/>
      <c r="DM62" s="6880"/>
      <c r="DN62" s="6880"/>
      <c r="DO62" s="6880"/>
      <c r="DP62" s="6880"/>
      <c r="DQ62" s="6880"/>
      <c r="DR62" s="6880"/>
      <c r="DS62" s="6880"/>
      <c r="DT62" s="6880"/>
      <c r="DU62" s="6880"/>
      <c r="DV62" s="6880"/>
      <c r="DW62" s="6880"/>
      <c r="DX62" s="6880"/>
      <c r="DY62" s="6880"/>
      <c r="DZ62" s="6880"/>
      <c r="EA62" s="6880"/>
      <c r="EB62" s="19228"/>
      <c r="EC62" s="19228"/>
      <c r="ED62" s="19228"/>
      <c r="EE62" s="19228"/>
      <c r="EF62" s="19228"/>
      <c r="EG62" s="19228"/>
      <c r="EH62" s="19228"/>
      <c r="EI62" s="19228"/>
      <c r="EJ62" s="19228"/>
      <c r="EK62" s="19228"/>
      <c r="EL62" s="19228"/>
      <c r="EM62" s="19228"/>
      <c r="EN62" s="19228"/>
      <c r="EO62" s="19228"/>
      <c r="EP62" s="19228"/>
      <c r="EQ62" s="19228"/>
      <c r="ER62" s="19228"/>
      <c r="ES62" s="19228"/>
      <c r="ET62" s="19228"/>
      <c r="EU62" s="19228"/>
      <c r="EV62" s="19228"/>
      <c r="EW62" s="19228"/>
      <c r="EX62" s="6880"/>
      <c r="EY62" s="6880"/>
      <c r="EZ62" s="6889"/>
      <c r="FA62" s="7194"/>
      <c r="FB62" s="7194" t="str">
        <f>IF(T62="","",T62)</f>
        <v>Добавить централизованную систему для дифференциации</v>
      </c>
      <c r="FC62" s="7194"/>
      <c r="FD62" s="7194"/>
    </row>
    <row s="33796" customFormat="1" customHeight="1" ht="23.25">
      <c r="A63" s="7182"/>
      <c r="B63" s="7182" t="s">
        <v>267</v>
      </c>
      <c r="C63" s="7182"/>
      <c r="D63" s="7182"/>
      <c r="E63" s="7183"/>
      <c r="F63" s="7184" t="s">
        <v>89</v>
      </c>
      <c r="G63" s="7182"/>
      <c r="H63" s="7182"/>
      <c r="I63" s="7182"/>
      <c r="J63" s="7182"/>
      <c r="K63" s="7182"/>
      <c r="L63" s="7185"/>
      <c r="M63" s="7186"/>
      <c r="N63" s="7186"/>
      <c r="O63" s="7186"/>
      <c r="P63" s="7187"/>
      <c r="Q63" s="7188"/>
      <c r="R63" s="7189"/>
      <c r="S63" s="7190" t="str">
        <f>INDEX(PT_DIFFERENTIATION_NUM_TER,MATCH(B63,PT_DIFFERENTIATION_TER_ID,0))</f>
        <v>1.3</v>
      </c>
      <c r="T63" s="7191" t="s">
        <v>438</v>
      </c>
      <c r="U63" s="7192"/>
      <c r="V63" s="6602"/>
      <c r="W63" s="6603"/>
      <c r="X63" s="6603"/>
      <c r="Y63" s="6603"/>
      <c r="Z63" s="6603"/>
      <c r="AA63" s="6603"/>
      <c r="AB63" s="6603"/>
      <c r="AC63" s="6603"/>
      <c r="AD63" s="6603"/>
      <c r="AE63" s="6603"/>
      <c r="AF63" s="6604"/>
      <c r="AG63" s="6602" t="str">
        <f>INDEX(PT_DIFFERENTIATION_TER,MATCH(B63,PT_DIFFERENTIATION_TER_ID,0))</f>
        <v>Территория 3</v>
      </c>
      <c r="AH63" s="6603"/>
      <c r="AI63" s="6603"/>
      <c r="AJ63" s="6603"/>
      <c r="AK63" s="6603"/>
      <c r="AL63" s="6603"/>
      <c r="AM63" s="6603"/>
      <c r="AN63" s="6603"/>
      <c r="AO63" s="6603"/>
      <c r="AP63" s="6603"/>
      <c r="AQ63" s="6603"/>
      <c r="AR63" s="6602"/>
      <c r="AS63" s="6603"/>
      <c r="AT63" s="6603"/>
      <c r="AU63" s="6603"/>
      <c r="AV63" s="6603"/>
      <c r="AW63" s="6603"/>
      <c r="AX63" s="6603"/>
      <c r="AY63" s="6603"/>
      <c r="AZ63" s="6603"/>
      <c r="BA63" s="6603"/>
      <c r="BB63" s="6604"/>
      <c r="BC63" s="6602"/>
      <c r="BD63" s="6603"/>
      <c r="BE63" s="6603"/>
      <c r="BF63" s="6603"/>
      <c r="BG63" s="6603"/>
      <c r="BH63" s="6603"/>
      <c r="BI63" s="6603"/>
      <c r="BJ63" s="6603"/>
      <c r="BK63" s="6603"/>
      <c r="BL63" s="6603"/>
      <c r="BM63" s="6604"/>
      <c r="BN63" s="6602"/>
      <c r="BO63" s="6603"/>
      <c r="BP63" s="6603"/>
      <c r="BQ63" s="6603"/>
      <c r="BR63" s="6603"/>
      <c r="BS63" s="6603"/>
      <c r="BT63" s="6603"/>
      <c r="BU63" s="6603"/>
      <c r="BV63" s="6603"/>
      <c r="BW63" s="6603"/>
      <c r="BX63" s="6604"/>
      <c r="BY63" s="6602"/>
      <c r="BZ63" s="6603"/>
      <c r="CA63" s="6603"/>
      <c r="CB63" s="6603"/>
      <c r="CC63" s="6603"/>
      <c r="CD63" s="6603"/>
      <c r="CE63" s="6603"/>
      <c r="CF63" s="6603"/>
      <c r="CG63" s="6603"/>
      <c r="CH63" s="6603"/>
      <c r="CI63" s="6604"/>
      <c r="CJ63" s="6602"/>
      <c r="CK63" s="6603"/>
      <c r="CL63" s="6603"/>
      <c r="CM63" s="6603"/>
      <c r="CN63" s="6603"/>
      <c r="CO63" s="6603"/>
      <c r="CP63" s="6603"/>
      <c r="CQ63" s="6603"/>
      <c r="CR63" s="6603"/>
      <c r="CS63" s="6603"/>
      <c r="CT63" s="6604"/>
      <c r="CU63" s="6602"/>
      <c r="CV63" s="6603"/>
      <c r="CW63" s="6603"/>
      <c r="CX63" s="6603"/>
      <c r="CY63" s="6603"/>
      <c r="CZ63" s="6603"/>
      <c r="DA63" s="6603"/>
      <c r="DB63" s="6603"/>
      <c r="DC63" s="6603"/>
      <c r="DD63" s="6603"/>
      <c r="DE63" s="6604"/>
      <c r="DF63" s="6602"/>
      <c r="DG63" s="6603"/>
      <c r="DH63" s="6603"/>
      <c r="DI63" s="6603"/>
      <c r="DJ63" s="6603"/>
      <c r="DK63" s="6603"/>
      <c r="DL63" s="6603"/>
      <c r="DM63" s="6603"/>
      <c r="DN63" s="6603"/>
      <c r="DO63" s="6603"/>
      <c r="DP63" s="6604"/>
      <c r="DQ63" s="6602"/>
      <c r="DR63" s="6603"/>
      <c r="DS63" s="6603"/>
      <c r="DT63" s="6603"/>
      <c r="DU63" s="6603"/>
      <c r="DV63" s="6603"/>
      <c r="DW63" s="6603"/>
      <c r="DX63" s="6603"/>
      <c r="DY63" s="6603"/>
      <c r="DZ63" s="6603"/>
      <c r="EA63" s="6604"/>
      <c r="EB63" s="18872"/>
      <c r="EC63" s="18873"/>
      <c r="ED63" s="18873"/>
      <c r="EE63" s="18873"/>
      <c r="EF63" s="18873"/>
      <c r="EG63" s="18873"/>
      <c r="EH63" s="18873"/>
      <c r="EI63" s="18873"/>
      <c r="EJ63" s="18873"/>
      <c r="EK63" s="18873"/>
      <c r="EL63" s="18874"/>
      <c r="EM63" s="18872"/>
      <c r="EN63" s="18873"/>
      <c r="EO63" s="18873"/>
      <c r="EP63" s="18873"/>
      <c r="EQ63" s="18873"/>
      <c r="ER63" s="18873"/>
      <c r="ES63" s="18873"/>
      <c r="ET63" s="18873"/>
      <c r="EU63" s="18873"/>
      <c r="EV63" s="18873"/>
      <c r="EW63" s="18874"/>
      <c r="EX63" s="6604"/>
      <c r="EY63" s="7193" t="s">
        <v>439</v>
      </c>
      <c r="EZ63" s="6889"/>
      <c r="FA63" s="7194"/>
      <c r="FB63" s="7194" t="str">
        <f>IF(T63="","",T63)</f>
        <v>Территория действия тарифа</v>
      </c>
      <c r="FC63" s="7194"/>
      <c r="FD63" s="7194"/>
    </row>
    <row s="33797" customFormat="1" customHeight="1" ht="23.25">
      <c r="A64" s="7182"/>
      <c r="B64" s="7182"/>
      <c r="C64" s="7182" t="s">
        <v>268</v>
      </c>
      <c r="D64" s="7182"/>
      <c r="E64" s="7183"/>
      <c r="F64" s="7183" t="s">
        <v>102</v>
      </c>
      <c r="G64" s="7184">
        <v>1</v>
      </c>
      <c r="H64" s="7182"/>
      <c r="I64" s="7182"/>
      <c r="J64" s="7182"/>
      <c r="K64" s="7182"/>
      <c r="L64" s="7185"/>
      <c r="M64" s="7186"/>
      <c r="N64" s="7186"/>
      <c r="O64" s="7186"/>
      <c r="P64" s="7196"/>
      <c r="Q64" s="7188"/>
      <c r="R64" s="7189"/>
      <c r="S64" s="7190" t="str">
        <f>INDEX(PT_DIFFERENTIATION_NUM_CS,MATCH(C64,PT_DIFFERENTIATION_CS_ID,0))</f>
        <v>1.3.1</v>
      </c>
      <c r="T64" s="7197" t="s">
        <v>569</v>
      </c>
      <c r="U64" s="7192"/>
      <c r="V64" s="6602"/>
      <c r="W64" s="6603"/>
      <c r="X64" s="6603"/>
      <c r="Y64" s="6603"/>
      <c r="Z64" s="6603"/>
      <c r="AA64" s="6603"/>
      <c r="AB64" s="6603"/>
      <c r="AC64" s="6603"/>
      <c r="AD64" s="6603"/>
      <c r="AE64" s="6603"/>
      <c r="AF64" s="6604"/>
      <c r="AG64" s="6602" t="str">
        <f>INDEX(PT_DIFFERENTIATION_CS,MATCH(C64,PT_DIFFERENTIATION_CS_ID,0))</f>
        <v>н.п. Белое море</v>
      </c>
      <c r="AH64" s="6603"/>
      <c r="AI64" s="6603"/>
      <c r="AJ64" s="6603"/>
      <c r="AK64" s="6603"/>
      <c r="AL64" s="6603"/>
      <c r="AM64" s="6603"/>
      <c r="AN64" s="6603"/>
      <c r="AO64" s="6603"/>
      <c r="AP64" s="6603"/>
      <c r="AQ64" s="6603"/>
      <c r="AR64" s="6602"/>
      <c r="AS64" s="6603"/>
      <c r="AT64" s="6603"/>
      <c r="AU64" s="6603"/>
      <c r="AV64" s="6603"/>
      <c r="AW64" s="6603"/>
      <c r="AX64" s="6603"/>
      <c r="AY64" s="6603"/>
      <c r="AZ64" s="6603"/>
      <c r="BA64" s="6603"/>
      <c r="BB64" s="6604"/>
      <c r="BC64" s="6602"/>
      <c r="BD64" s="6603"/>
      <c r="BE64" s="6603"/>
      <c r="BF64" s="6603"/>
      <c r="BG64" s="6603"/>
      <c r="BH64" s="6603"/>
      <c r="BI64" s="6603"/>
      <c r="BJ64" s="6603"/>
      <c r="BK64" s="6603"/>
      <c r="BL64" s="6603"/>
      <c r="BM64" s="6604"/>
      <c r="BN64" s="6602"/>
      <c r="BO64" s="6603"/>
      <c r="BP64" s="6603"/>
      <c r="BQ64" s="6603"/>
      <c r="BR64" s="6603"/>
      <c r="BS64" s="6603"/>
      <c r="BT64" s="6603"/>
      <c r="BU64" s="6603"/>
      <c r="BV64" s="6603"/>
      <c r="BW64" s="6603"/>
      <c r="BX64" s="6604"/>
      <c r="BY64" s="6602"/>
      <c r="BZ64" s="6603"/>
      <c r="CA64" s="6603"/>
      <c r="CB64" s="6603"/>
      <c r="CC64" s="6603"/>
      <c r="CD64" s="6603"/>
      <c r="CE64" s="6603"/>
      <c r="CF64" s="6603"/>
      <c r="CG64" s="6603"/>
      <c r="CH64" s="6603"/>
      <c r="CI64" s="6604"/>
      <c r="CJ64" s="6602"/>
      <c r="CK64" s="6603"/>
      <c r="CL64" s="6603"/>
      <c r="CM64" s="6603"/>
      <c r="CN64" s="6603"/>
      <c r="CO64" s="6603"/>
      <c r="CP64" s="6603"/>
      <c r="CQ64" s="6603"/>
      <c r="CR64" s="6603"/>
      <c r="CS64" s="6603"/>
      <c r="CT64" s="6604"/>
      <c r="CU64" s="6602"/>
      <c r="CV64" s="6603"/>
      <c r="CW64" s="6603"/>
      <c r="CX64" s="6603"/>
      <c r="CY64" s="6603"/>
      <c r="CZ64" s="6603"/>
      <c r="DA64" s="6603"/>
      <c r="DB64" s="6603"/>
      <c r="DC64" s="6603"/>
      <c r="DD64" s="6603"/>
      <c r="DE64" s="6604"/>
      <c r="DF64" s="6602"/>
      <c r="DG64" s="6603"/>
      <c r="DH64" s="6603"/>
      <c r="DI64" s="6603"/>
      <c r="DJ64" s="6603"/>
      <c r="DK64" s="6603"/>
      <c r="DL64" s="6603"/>
      <c r="DM64" s="6603"/>
      <c r="DN64" s="6603"/>
      <c r="DO64" s="6603"/>
      <c r="DP64" s="6604"/>
      <c r="DQ64" s="6602"/>
      <c r="DR64" s="6603"/>
      <c r="DS64" s="6603"/>
      <c r="DT64" s="6603"/>
      <c r="DU64" s="6603"/>
      <c r="DV64" s="6603"/>
      <c r="DW64" s="6603"/>
      <c r="DX64" s="6603"/>
      <c r="DY64" s="6603"/>
      <c r="DZ64" s="6603"/>
      <c r="EA64" s="6604"/>
      <c r="EB64" s="18872"/>
      <c r="EC64" s="18873"/>
      <c r="ED64" s="18873"/>
      <c r="EE64" s="18873"/>
      <c r="EF64" s="18873"/>
      <c r="EG64" s="18873"/>
      <c r="EH64" s="18873"/>
      <c r="EI64" s="18873"/>
      <c r="EJ64" s="18873"/>
      <c r="EK64" s="18873"/>
      <c r="EL64" s="18874"/>
      <c r="EM64" s="18872"/>
      <c r="EN64" s="18873"/>
      <c r="EO64" s="18873"/>
      <c r="EP64" s="18873"/>
      <c r="EQ64" s="18873"/>
      <c r="ER64" s="18873"/>
      <c r="ES64" s="18873"/>
      <c r="ET64" s="18873"/>
      <c r="EU64" s="18873"/>
      <c r="EV64" s="18873"/>
      <c r="EW64" s="18874"/>
      <c r="EX64" s="6604"/>
      <c r="EY64" s="7193" t="s">
        <v>570</v>
      </c>
      <c r="EZ64" s="6889"/>
      <c r="FA64" s="7194"/>
      <c r="FB64" s="7194" t="str">
        <f>IF(T64="","",T64)</f>
        <v>Наименование централизованной системы горячего водоснабжения</v>
      </c>
      <c r="FC64" s="7194"/>
      <c r="FD64" s="7194"/>
    </row>
    <row s="33798" customFormat="1" customHeight="1" ht="23.25">
      <c r="A65" s="7182"/>
      <c r="B65" s="7182"/>
      <c r="C65" s="7182"/>
      <c r="D65" s="7182"/>
      <c r="E65" s="7183"/>
      <c r="F65" s="7183" t="s">
        <v>102</v>
      </c>
      <c r="G65" s="7183"/>
      <c r="H65" s="7183"/>
      <c r="I65" s="7199" t="str">
        <f>S64&amp;".1"</f>
        <v>1.3.1.1</v>
      </c>
      <c r="J65" s="7182"/>
      <c r="K65" s="7182"/>
      <c r="L65" s="7185"/>
      <c r="M65" s="7200"/>
      <c r="N65" s="7200"/>
      <c r="O65" s="7200"/>
      <c r="P65" s="7201">
        <v>1</v>
      </c>
      <c r="Q65" s="7201"/>
      <c r="R65" s="7202"/>
      <c r="S65" s="7190" t="str">
        <f>$I65</f>
        <v>1.3.1.1</v>
      </c>
      <c r="T65" s="7203" t="s">
        <v>522</v>
      </c>
      <c r="U65" s="7192"/>
      <c r="V65" s="6605"/>
      <c r="W65" s="6606"/>
      <c r="X65" s="6606"/>
      <c r="Y65" s="6606"/>
      <c r="Z65" s="6606"/>
      <c r="AA65" s="6606"/>
      <c r="AB65" s="6606"/>
      <c r="AC65" s="6606"/>
      <c r="AD65" s="6606"/>
      <c r="AE65" s="6606"/>
      <c r="AF65" s="6607"/>
      <c r="AG65" s="7204"/>
      <c r="AH65" s="7205"/>
      <c r="AI65" s="7205"/>
      <c r="AJ65" s="7205"/>
      <c r="AK65" s="7205"/>
      <c r="AL65" s="7205"/>
      <c r="AM65" s="7205"/>
      <c r="AN65" s="7205"/>
      <c r="AO65" s="7205"/>
      <c r="AP65" s="7205"/>
      <c r="AQ65" s="7205"/>
      <c r="AR65" s="6605"/>
      <c r="AS65" s="6606"/>
      <c r="AT65" s="6606"/>
      <c r="AU65" s="6606"/>
      <c r="AV65" s="6606"/>
      <c r="AW65" s="6606"/>
      <c r="AX65" s="6606"/>
      <c r="AY65" s="6606"/>
      <c r="AZ65" s="6606"/>
      <c r="BA65" s="6606"/>
      <c r="BB65" s="6607"/>
      <c r="BC65" s="6605"/>
      <c r="BD65" s="6606"/>
      <c r="BE65" s="6606"/>
      <c r="BF65" s="6606"/>
      <c r="BG65" s="6606"/>
      <c r="BH65" s="6606"/>
      <c r="BI65" s="6606"/>
      <c r="BJ65" s="6606"/>
      <c r="BK65" s="6606"/>
      <c r="BL65" s="6606"/>
      <c r="BM65" s="6607"/>
      <c r="BN65" s="6605"/>
      <c r="BO65" s="6606"/>
      <c r="BP65" s="6606"/>
      <c r="BQ65" s="6606"/>
      <c r="BR65" s="6606"/>
      <c r="BS65" s="6606"/>
      <c r="BT65" s="6606"/>
      <c r="BU65" s="6606"/>
      <c r="BV65" s="6606"/>
      <c r="BW65" s="6606"/>
      <c r="BX65" s="6607"/>
      <c r="BY65" s="6605"/>
      <c r="BZ65" s="6606"/>
      <c r="CA65" s="6606"/>
      <c r="CB65" s="6606"/>
      <c r="CC65" s="6606"/>
      <c r="CD65" s="6606"/>
      <c r="CE65" s="6606"/>
      <c r="CF65" s="6606"/>
      <c r="CG65" s="6606"/>
      <c r="CH65" s="6606"/>
      <c r="CI65" s="6607"/>
      <c r="CJ65" s="6605"/>
      <c r="CK65" s="6606"/>
      <c r="CL65" s="6606"/>
      <c r="CM65" s="6606"/>
      <c r="CN65" s="6606"/>
      <c r="CO65" s="6606"/>
      <c r="CP65" s="6606"/>
      <c r="CQ65" s="6606"/>
      <c r="CR65" s="6606"/>
      <c r="CS65" s="6606"/>
      <c r="CT65" s="6607"/>
      <c r="CU65" s="6605"/>
      <c r="CV65" s="6606"/>
      <c r="CW65" s="6606"/>
      <c r="CX65" s="6606"/>
      <c r="CY65" s="6606"/>
      <c r="CZ65" s="6606"/>
      <c r="DA65" s="6606"/>
      <c r="DB65" s="6606"/>
      <c r="DC65" s="6606"/>
      <c r="DD65" s="6606"/>
      <c r="DE65" s="6607"/>
      <c r="DF65" s="6605"/>
      <c r="DG65" s="6606"/>
      <c r="DH65" s="6606"/>
      <c r="DI65" s="6606"/>
      <c r="DJ65" s="6606"/>
      <c r="DK65" s="6606"/>
      <c r="DL65" s="6606"/>
      <c r="DM65" s="6606"/>
      <c r="DN65" s="6606"/>
      <c r="DO65" s="6606"/>
      <c r="DP65" s="6607"/>
      <c r="DQ65" s="6605"/>
      <c r="DR65" s="6606"/>
      <c r="DS65" s="6606"/>
      <c r="DT65" s="6606"/>
      <c r="DU65" s="6606"/>
      <c r="DV65" s="6606"/>
      <c r="DW65" s="6606"/>
      <c r="DX65" s="6606"/>
      <c r="DY65" s="6606"/>
      <c r="DZ65" s="6606"/>
      <c r="EA65" s="6607"/>
      <c r="EB65" s="18878"/>
      <c r="EC65" s="18879"/>
      <c r="ED65" s="18879"/>
      <c r="EE65" s="18879"/>
      <c r="EF65" s="18879"/>
      <c r="EG65" s="18879"/>
      <c r="EH65" s="18879"/>
      <c r="EI65" s="18879"/>
      <c r="EJ65" s="18879"/>
      <c r="EK65" s="18879"/>
      <c r="EL65" s="18880"/>
      <c r="EM65" s="18878"/>
      <c r="EN65" s="18879"/>
      <c r="EO65" s="18879"/>
      <c r="EP65" s="18879"/>
      <c r="EQ65" s="18879"/>
      <c r="ER65" s="18879"/>
      <c r="ES65" s="18879"/>
      <c r="ET65" s="18879"/>
      <c r="EU65" s="18879"/>
      <c r="EV65" s="18879"/>
      <c r="EW65" s="18880"/>
      <c r="EX65" s="7206"/>
      <c r="EY65" s="7193" t="s">
        <v>523</v>
      </c>
      <c r="EZ65" s="6889"/>
      <c r="FA65" s="7194"/>
      <c r="FB65" s="7194" t="str">
        <f>IF(T65="","",T65)</f>
        <v>Наименование признака дифференциации</v>
      </c>
      <c r="FC65" s="7194"/>
      <c r="FD65" s="7194"/>
    </row>
    <row s="33799" customFormat="1" customHeight="1" ht="23.25">
      <c r="A66" s="7182"/>
      <c r="B66" s="7182"/>
      <c r="C66" s="7182"/>
      <c r="D66" s="7182"/>
      <c r="E66" s="7183"/>
      <c r="F66" s="7183" t="s">
        <v>102</v>
      </c>
      <c r="G66" s="7183"/>
      <c r="H66" s="7183"/>
      <c r="I66" s="7208"/>
      <c r="J66" s="7199" t="str">
        <f>I65&amp;".1"</f>
        <v>1.3.1.1.1</v>
      </c>
      <c r="K66" s="7182"/>
      <c r="L66" s="7185" t="s">
        <v>447</v>
      </c>
      <c r="M66" s="7200"/>
      <c r="N66" s="7200"/>
      <c r="O66" s="7200"/>
      <c r="P66" s="7201"/>
      <c r="Q66" s="7201">
        <v>1</v>
      </c>
      <c r="R66" s="7209"/>
      <c r="S66" s="7190" t="str">
        <f>$J66</f>
        <v>1.3.1.1.1</v>
      </c>
      <c r="T66" s="7210" t="s">
        <v>448</v>
      </c>
      <c r="U66" s="7192"/>
      <c r="V66" s="6608"/>
      <c r="W66" s="6609"/>
      <c r="X66" s="6609"/>
      <c r="Y66" s="6609"/>
      <c r="Z66" s="6609"/>
      <c r="AA66" s="6609"/>
      <c r="AB66" s="6609"/>
      <c r="AC66" s="6609"/>
      <c r="AD66" s="6609"/>
      <c r="AE66" s="6609"/>
      <c r="AF66" s="6610"/>
      <c r="AG66" s="6608" t="s">
        <v>582</v>
      </c>
      <c r="AH66" s="6609"/>
      <c r="AI66" s="6609"/>
      <c r="AJ66" s="6609"/>
      <c r="AK66" s="6609"/>
      <c r="AL66" s="6609"/>
      <c r="AM66" s="6609"/>
      <c r="AN66" s="6609"/>
      <c r="AO66" s="6609"/>
      <c r="AP66" s="6609"/>
      <c r="AQ66" s="6609"/>
      <c r="AR66" s="6608"/>
      <c r="AS66" s="6609"/>
      <c r="AT66" s="6609"/>
      <c r="AU66" s="6609"/>
      <c r="AV66" s="6609"/>
      <c r="AW66" s="6609"/>
      <c r="AX66" s="6609"/>
      <c r="AY66" s="6609"/>
      <c r="AZ66" s="6609"/>
      <c r="BA66" s="6609"/>
      <c r="BB66" s="6610"/>
      <c r="BC66" s="6608"/>
      <c r="BD66" s="6609"/>
      <c r="BE66" s="6609"/>
      <c r="BF66" s="6609"/>
      <c r="BG66" s="6609"/>
      <c r="BH66" s="6609"/>
      <c r="BI66" s="6609"/>
      <c r="BJ66" s="6609"/>
      <c r="BK66" s="6609"/>
      <c r="BL66" s="6609"/>
      <c r="BM66" s="6610"/>
      <c r="BN66" s="6608"/>
      <c r="BO66" s="6609"/>
      <c r="BP66" s="6609"/>
      <c r="BQ66" s="6609"/>
      <c r="BR66" s="6609"/>
      <c r="BS66" s="6609"/>
      <c r="BT66" s="6609"/>
      <c r="BU66" s="6609"/>
      <c r="BV66" s="6609"/>
      <c r="BW66" s="6609"/>
      <c r="BX66" s="6610"/>
      <c r="BY66" s="6608"/>
      <c r="BZ66" s="6609"/>
      <c r="CA66" s="6609"/>
      <c r="CB66" s="6609"/>
      <c r="CC66" s="6609"/>
      <c r="CD66" s="6609"/>
      <c r="CE66" s="6609"/>
      <c r="CF66" s="6609"/>
      <c r="CG66" s="6609"/>
      <c r="CH66" s="6609"/>
      <c r="CI66" s="6610"/>
      <c r="CJ66" s="6608"/>
      <c r="CK66" s="6609"/>
      <c r="CL66" s="6609"/>
      <c r="CM66" s="6609"/>
      <c r="CN66" s="6609"/>
      <c r="CO66" s="6609"/>
      <c r="CP66" s="6609"/>
      <c r="CQ66" s="6609"/>
      <c r="CR66" s="6609"/>
      <c r="CS66" s="6609"/>
      <c r="CT66" s="6610"/>
      <c r="CU66" s="6608"/>
      <c r="CV66" s="6609"/>
      <c r="CW66" s="6609"/>
      <c r="CX66" s="6609"/>
      <c r="CY66" s="6609"/>
      <c r="CZ66" s="6609"/>
      <c r="DA66" s="6609"/>
      <c r="DB66" s="6609"/>
      <c r="DC66" s="6609"/>
      <c r="DD66" s="6609"/>
      <c r="DE66" s="6610"/>
      <c r="DF66" s="6608"/>
      <c r="DG66" s="6609"/>
      <c r="DH66" s="6609"/>
      <c r="DI66" s="6609"/>
      <c r="DJ66" s="6609"/>
      <c r="DK66" s="6609"/>
      <c r="DL66" s="6609"/>
      <c r="DM66" s="6609"/>
      <c r="DN66" s="6609"/>
      <c r="DO66" s="6609"/>
      <c r="DP66" s="6610"/>
      <c r="DQ66" s="6608"/>
      <c r="DR66" s="6609"/>
      <c r="DS66" s="6609"/>
      <c r="DT66" s="6609"/>
      <c r="DU66" s="6609"/>
      <c r="DV66" s="6609"/>
      <c r="DW66" s="6609"/>
      <c r="DX66" s="6609"/>
      <c r="DY66" s="6609"/>
      <c r="DZ66" s="6609"/>
      <c r="EA66" s="6610"/>
      <c r="EB66" s="18884"/>
      <c r="EC66" s="18885"/>
      <c r="ED66" s="18885"/>
      <c r="EE66" s="18885"/>
      <c r="EF66" s="18885"/>
      <c r="EG66" s="18885"/>
      <c r="EH66" s="18885"/>
      <c r="EI66" s="18885"/>
      <c r="EJ66" s="18885"/>
      <c r="EK66" s="18885"/>
      <c r="EL66" s="18886"/>
      <c r="EM66" s="18884"/>
      <c r="EN66" s="18885"/>
      <c r="EO66" s="18885"/>
      <c r="EP66" s="18885"/>
      <c r="EQ66" s="18885"/>
      <c r="ER66" s="18885"/>
      <c r="ES66" s="18885"/>
      <c r="ET66" s="18885"/>
      <c r="EU66" s="18885"/>
      <c r="EV66" s="18885"/>
      <c r="EW66" s="18886"/>
      <c r="EX66" s="6610"/>
      <c r="EY66" s="7211" t="s">
        <v>524</v>
      </c>
      <c r="EZ66" s="6889"/>
      <c r="FA66" s="7194"/>
      <c r="FB66" s="7194" t="str">
        <f>IF(T66="","",T66)</f>
        <v>Группа потребителей</v>
      </c>
      <c r="FC66" s="7194"/>
      <c r="FD66" s="7194"/>
    </row>
    <row s="33800" customFormat="1" customHeight="1" ht="23.25">
      <c r="A67" s="7182"/>
      <c r="B67" s="7182"/>
      <c r="C67" s="7182"/>
      <c r="D67" s="7182"/>
      <c r="E67" s="7183"/>
      <c r="F67" s="7183" t="s">
        <v>102</v>
      </c>
      <c r="G67" s="7183"/>
      <c r="H67" s="7183"/>
      <c r="I67" s="7208"/>
      <c r="J67" s="7208"/>
      <c r="K67" s="7199" t="str">
        <f>J66&amp;".1"</f>
        <v>1.3.1.1.1.1</v>
      </c>
      <c r="L67" s="7185"/>
      <c r="M67" s="7200"/>
      <c r="N67" s="7200"/>
      <c r="O67" s="7200"/>
      <c r="P67" s="7201"/>
      <c r="Q67" s="7201"/>
      <c r="R67" s="7209">
        <v>1</v>
      </c>
      <c r="S67" s="7190" t="str">
        <f>$K67</f>
        <v>1.3.1.1.1.1</v>
      </c>
      <c r="T67" s="7213"/>
      <c r="U67" s="7192"/>
      <c r="V67" s="6611"/>
      <c r="W67" s="6611"/>
      <c r="X67" s="6611"/>
      <c r="Y67" s="6611"/>
      <c r="Z67" s="6611"/>
      <c r="AA67" s="6611"/>
      <c r="AB67" s="6611"/>
      <c r="AC67" s="6612"/>
      <c r="AD67" s="6613" t="s">
        <v>66</v>
      </c>
      <c r="AE67" s="6612"/>
      <c r="AF67" s="6613" t="s">
        <v>66</v>
      </c>
      <c r="AG67" s="6611">
        <v>127.96</v>
      </c>
      <c r="AH67" s="6611"/>
      <c r="AI67" s="6611"/>
      <c r="AJ67" s="6611"/>
      <c r="AK67" s="6611">
        <v>8672.55</v>
      </c>
      <c r="AL67" s="6611"/>
      <c r="AM67" s="6611"/>
      <c r="AN67" s="18891">
        <v>44896</v>
      </c>
      <c r="AO67" s="6613" t="s">
        <v>66</v>
      </c>
      <c r="AP67" s="19294">
        <v>45291</v>
      </c>
      <c r="AQ67" s="6613" t="s">
        <v>66</v>
      </c>
      <c r="AR67" s="6611">
        <v>0</v>
      </c>
      <c r="AS67" s="6611"/>
      <c r="AT67" s="6611"/>
      <c r="AU67" s="6611"/>
      <c r="AV67" s="6611">
        <v>8672.55</v>
      </c>
      <c r="AW67" s="6611"/>
      <c r="AX67" s="6611"/>
      <c r="AY67" s="18891">
        <v>45292</v>
      </c>
      <c r="AZ67" s="6613" t="s">
        <v>66</v>
      </c>
      <c r="BA67" s="18891">
        <v>45473</v>
      </c>
      <c r="BB67" s="6613" t="s">
        <v>66</v>
      </c>
      <c r="BC67" s="6611">
        <v>0</v>
      </c>
      <c r="BD67" s="6611"/>
      <c r="BE67" s="6611"/>
      <c r="BF67" s="6611"/>
      <c r="BG67" s="6611">
        <v>9193.12</v>
      </c>
      <c r="BH67" s="6611"/>
      <c r="BI67" s="6611"/>
      <c r="BJ67" s="18891">
        <v>45474</v>
      </c>
      <c r="BK67" s="6613" t="s">
        <v>66</v>
      </c>
      <c r="BL67" s="18891">
        <v>45657</v>
      </c>
      <c r="BM67" s="6613" t="s">
        <v>66</v>
      </c>
      <c r="BN67" s="6611">
        <v>0</v>
      </c>
      <c r="BO67" s="6611"/>
      <c r="BP67" s="6611"/>
      <c r="BQ67" s="6611"/>
      <c r="BR67" s="6611">
        <v>8158.64</v>
      </c>
      <c r="BS67" s="6611"/>
      <c r="BT67" s="6611"/>
      <c r="BU67" s="18891">
        <v>45658</v>
      </c>
      <c r="BV67" s="6613" t="s">
        <v>66</v>
      </c>
      <c r="BW67" s="18891">
        <v>45838</v>
      </c>
      <c r="BX67" s="6613" t="s">
        <v>66</v>
      </c>
      <c r="BY67" s="6611">
        <v>0</v>
      </c>
      <c r="BZ67" s="6611"/>
      <c r="CA67" s="6611"/>
      <c r="CB67" s="6611"/>
      <c r="CC67" s="6611">
        <v>8677.42</v>
      </c>
      <c r="CD67" s="6611"/>
      <c r="CE67" s="6611"/>
      <c r="CF67" s="18891">
        <v>45839</v>
      </c>
      <c r="CG67" s="6613" t="s">
        <v>66</v>
      </c>
      <c r="CH67" s="18891">
        <v>46022</v>
      </c>
      <c r="CI67" s="6613" t="s">
        <v>66</v>
      </c>
      <c r="CJ67" s="6611">
        <v>0</v>
      </c>
      <c r="CK67" s="6611"/>
      <c r="CL67" s="6611"/>
      <c r="CM67" s="6611"/>
      <c r="CN67" s="6611">
        <v>8633.64</v>
      </c>
      <c r="CO67" s="6611"/>
      <c r="CP67" s="6611"/>
      <c r="CQ67" s="18891">
        <v>46023</v>
      </c>
      <c r="CR67" s="6613" t="s">
        <v>66</v>
      </c>
      <c r="CS67" s="18891">
        <v>46203</v>
      </c>
      <c r="CT67" s="6613" t="s">
        <v>66</v>
      </c>
      <c r="CU67" s="6611">
        <v>0</v>
      </c>
      <c r="CV67" s="6611"/>
      <c r="CW67" s="6611"/>
      <c r="CX67" s="6611"/>
      <c r="CY67" s="6611">
        <v>8633.64</v>
      </c>
      <c r="CZ67" s="6611"/>
      <c r="DA67" s="6611"/>
      <c r="DB67" s="18891">
        <v>46204</v>
      </c>
      <c r="DC67" s="6613" t="s">
        <v>66</v>
      </c>
      <c r="DD67" s="18891">
        <v>46387</v>
      </c>
      <c r="DE67" s="6613" t="s">
        <v>66</v>
      </c>
      <c r="DF67" s="6611">
        <v>0</v>
      </c>
      <c r="DG67" s="6611"/>
      <c r="DH67" s="6611"/>
      <c r="DI67" s="6611"/>
      <c r="DJ67" s="6611">
        <v>8633.64</v>
      </c>
      <c r="DK67" s="6611"/>
      <c r="DL67" s="6611"/>
      <c r="DM67" s="18891">
        <v>46388</v>
      </c>
      <c r="DN67" s="6613" t="s">
        <v>66</v>
      </c>
      <c r="DO67" s="18891">
        <v>46568</v>
      </c>
      <c r="DP67" s="6613" t="s">
        <v>66</v>
      </c>
      <c r="DQ67" s="6611">
        <v>0</v>
      </c>
      <c r="DR67" s="6611"/>
      <c r="DS67" s="6611"/>
      <c r="DT67" s="6611"/>
      <c r="DU67" s="6611">
        <v>9196.88</v>
      </c>
      <c r="DV67" s="6611"/>
      <c r="DW67" s="6611"/>
      <c r="DX67" s="18891">
        <v>46569</v>
      </c>
      <c r="DY67" s="6613" t="s">
        <v>66</v>
      </c>
      <c r="DZ67" s="18891">
        <v>46752</v>
      </c>
      <c r="EA67" s="6613" t="s">
        <v>66</v>
      </c>
      <c r="EB67" s="18890">
        <v>0</v>
      </c>
      <c r="EC67" s="18890"/>
      <c r="ED67" s="18890"/>
      <c r="EE67" s="18890"/>
      <c r="EF67" s="18890">
        <v>9148.5</v>
      </c>
      <c r="EG67" s="18890"/>
      <c r="EH67" s="18890"/>
      <c r="EI67" s="18891">
        <v>46753</v>
      </c>
      <c r="EJ67" s="18892" t="s">
        <v>66</v>
      </c>
      <c r="EK67" s="18891">
        <v>46934</v>
      </c>
      <c r="EL67" s="18892" t="s">
        <v>66</v>
      </c>
      <c r="EM67" s="18890">
        <v>0</v>
      </c>
      <c r="EN67" s="18890"/>
      <c r="EO67" s="18890"/>
      <c r="EP67" s="18890"/>
      <c r="EQ67" s="18890">
        <v>9148.5</v>
      </c>
      <c r="ER67" s="18890"/>
      <c r="ES67" s="18890"/>
      <c r="ET67" s="18891">
        <v>46935</v>
      </c>
      <c r="EU67" s="18892" t="s">
        <v>66</v>
      </c>
      <c r="EV67" s="18891">
        <v>47118</v>
      </c>
      <c r="EW67" s="18892" t="s">
        <v>66</v>
      </c>
      <c r="EX67" s="7214"/>
      <c r="EY67" s="72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Z67" s="6889">
        <f>STRCHECKDATE(V68:EX68)</f>
      </c>
      <c r="FA67" s="7194"/>
      <c r="FB67" s="7194" t="str">
        <f>IF(T67="","",T67)</f>
        <v/>
      </c>
      <c r="FC67" s="7194"/>
      <c r="FD67" s="7194"/>
    </row>
    <row s="33801" customFormat="1" customHeight="1" ht="14.25">
      <c r="A68" s="7182"/>
      <c r="B68" s="7182"/>
      <c r="C68" s="7182"/>
      <c r="D68" s="7182"/>
      <c r="E68" s="7183"/>
      <c r="F68" s="7183" t="s">
        <v>102</v>
      </c>
      <c r="G68" s="7183"/>
      <c r="H68" s="7183"/>
      <c r="I68" s="7208"/>
      <c r="J68" s="7208"/>
      <c r="K68" s="7199"/>
      <c r="L68" s="7185"/>
      <c r="M68" s="7200"/>
      <c r="N68" s="7200"/>
      <c r="O68" s="7200"/>
      <c r="P68" s="7201"/>
      <c r="Q68" s="7201"/>
      <c r="R68" s="7209"/>
      <c r="S68" s="7217"/>
      <c r="T68" s="7192"/>
      <c r="U68" s="7192"/>
      <c r="V68" s="6614"/>
      <c r="W68" s="6614"/>
      <c r="X68" s="6614"/>
      <c r="Y68" s="6614"/>
      <c r="Z68" s="6614"/>
      <c r="AA68" s="6614"/>
      <c r="AB68" s="6614"/>
      <c r="AC68" s="6615"/>
      <c r="AD68" s="6613"/>
      <c r="AE68" s="6615"/>
      <c r="AF68" s="6613"/>
      <c r="AG68" s="6614"/>
      <c r="AH68" s="6614"/>
      <c r="AI68" s="6614"/>
      <c r="AJ68" s="6614"/>
      <c r="AK68" s="6614"/>
      <c r="AL68" s="6614"/>
      <c r="AM68" s="6614"/>
      <c r="AN68" s="6615"/>
      <c r="AO68" s="6613"/>
      <c r="AP68" s="6916"/>
      <c r="AQ68" s="6613"/>
      <c r="AR68" s="6614"/>
      <c r="AS68" s="6614"/>
      <c r="AT68" s="6614"/>
      <c r="AU68" s="6614"/>
      <c r="AV68" s="6614"/>
      <c r="AW68" s="6614"/>
      <c r="AX68" s="6614"/>
      <c r="AY68" s="6615"/>
      <c r="AZ68" s="6613"/>
      <c r="BA68" s="6615"/>
      <c r="BB68" s="6613"/>
      <c r="BC68" s="6614"/>
      <c r="BD68" s="6614"/>
      <c r="BE68" s="6614"/>
      <c r="BF68" s="6614"/>
      <c r="BG68" s="6614"/>
      <c r="BH68" s="6614"/>
      <c r="BI68" s="6614"/>
      <c r="BJ68" s="6615"/>
      <c r="BK68" s="6613"/>
      <c r="BL68" s="6615"/>
      <c r="BM68" s="6613"/>
      <c r="BN68" s="6614"/>
      <c r="BO68" s="6614"/>
      <c r="BP68" s="6614"/>
      <c r="BQ68" s="6614"/>
      <c r="BR68" s="6614"/>
      <c r="BS68" s="6614"/>
      <c r="BT68" s="6614"/>
      <c r="BU68" s="6615"/>
      <c r="BV68" s="6613"/>
      <c r="BW68" s="6615"/>
      <c r="BX68" s="6613"/>
      <c r="BY68" s="6614"/>
      <c r="BZ68" s="6614"/>
      <c r="CA68" s="6614"/>
      <c r="CB68" s="6614"/>
      <c r="CC68" s="6614"/>
      <c r="CD68" s="6614"/>
      <c r="CE68" s="6614"/>
      <c r="CF68" s="6615"/>
      <c r="CG68" s="6613"/>
      <c r="CH68" s="6615"/>
      <c r="CI68" s="6613"/>
      <c r="CJ68" s="6614"/>
      <c r="CK68" s="6614"/>
      <c r="CL68" s="6614"/>
      <c r="CM68" s="6614"/>
      <c r="CN68" s="6614"/>
      <c r="CO68" s="6614"/>
      <c r="CP68" s="6614"/>
      <c r="CQ68" s="6615"/>
      <c r="CR68" s="6613"/>
      <c r="CS68" s="6615"/>
      <c r="CT68" s="6613"/>
      <c r="CU68" s="6614"/>
      <c r="CV68" s="6614"/>
      <c r="CW68" s="6614"/>
      <c r="CX68" s="6614"/>
      <c r="CY68" s="6614"/>
      <c r="CZ68" s="6614"/>
      <c r="DA68" s="6614"/>
      <c r="DB68" s="6615"/>
      <c r="DC68" s="6613"/>
      <c r="DD68" s="6615"/>
      <c r="DE68" s="6613"/>
      <c r="DF68" s="6614"/>
      <c r="DG68" s="6614"/>
      <c r="DH68" s="6614"/>
      <c r="DI68" s="6614"/>
      <c r="DJ68" s="6614"/>
      <c r="DK68" s="6614"/>
      <c r="DL68" s="6614"/>
      <c r="DM68" s="6615"/>
      <c r="DN68" s="6613"/>
      <c r="DO68" s="6615"/>
      <c r="DP68" s="6613"/>
      <c r="DQ68" s="6614"/>
      <c r="DR68" s="6614"/>
      <c r="DS68" s="6614"/>
      <c r="DT68" s="6614"/>
      <c r="DU68" s="6614"/>
      <c r="DV68" s="6614"/>
      <c r="DW68" s="6614"/>
      <c r="DX68" s="6615"/>
      <c r="DY68" s="6613"/>
      <c r="DZ68" s="6615"/>
      <c r="EA68" s="6613"/>
      <c r="EB68" s="18895"/>
      <c r="EC68" s="18895"/>
      <c r="ED68" s="18895"/>
      <c r="EE68" s="18895"/>
      <c r="EF68" s="18895"/>
      <c r="EG68" s="18895"/>
      <c r="EH68" s="18895"/>
      <c r="EI68" s="18896"/>
      <c r="EJ68" s="18892"/>
      <c r="EK68" s="18896"/>
      <c r="EL68" s="18892"/>
      <c r="EM68" s="18895"/>
      <c r="EN68" s="18895"/>
      <c r="EO68" s="18895"/>
      <c r="EP68" s="18895"/>
      <c r="EQ68" s="18895"/>
      <c r="ER68" s="18895"/>
      <c r="ES68" s="18895"/>
      <c r="ET68" s="18896"/>
      <c r="EU68" s="18892"/>
      <c r="EV68" s="18896"/>
      <c r="EW68" s="18892"/>
      <c r="EX68" s="7218"/>
      <c r="EY68" s="7215"/>
      <c r="EZ68" s="6889"/>
      <c r="FA68" s="7194"/>
      <c r="FB68" s="7194" t="str">
        <f>IF(T68="","",T68)</f>
        <v/>
      </c>
      <c r="FC68" s="7194"/>
      <c r="FD68" s="7194"/>
    </row>
    <row s="33802" customFormat="1" customHeight="1" ht="21">
      <c r="A69" s="7182"/>
      <c r="B69" s="7182"/>
      <c r="C69" s="7182"/>
      <c r="D69" s="7182"/>
      <c r="E69" s="7183"/>
      <c r="F69" s="7183" t="s">
        <v>102</v>
      </c>
      <c r="G69" s="7183"/>
      <c r="H69" s="7183"/>
      <c r="I69" s="7208"/>
      <c r="J69" s="7199"/>
      <c r="K69" s="7182"/>
      <c r="L69" s="7185"/>
      <c r="M69" s="7200"/>
      <c r="N69" s="7200"/>
      <c r="O69" s="7200"/>
      <c r="P69" s="7201"/>
      <c r="Q69" s="7201"/>
      <c r="R69" s="7202"/>
      <c r="S69" s="7584"/>
      <c r="T69" s="7585" t="s">
        <v>525</v>
      </c>
      <c r="U69" s="7586"/>
      <c r="V69" s="7587"/>
      <c r="W69" s="7588"/>
      <c r="X69" s="7589"/>
      <c r="Y69" s="7590"/>
      <c r="Z69" s="7591"/>
      <c r="AA69" s="7592"/>
      <c r="AB69" s="7593"/>
      <c r="AC69" s="7594"/>
      <c r="AD69" s="7595"/>
      <c r="AE69" s="7596"/>
      <c r="AF69" s="7597"/>
      <c r="AG69" s="7598"/>
      <c r="AH69" s="7599"/>
      <c r="AI69" s="7600"/>
      <c r="AJ69" s="7601"/>
      <c r="AK69" s="7602"/>
      <c r="AL69" s="7603"/>
      <c r="AM69" s="7604"/>
      <c r="AN69" s="7605"/>
      <c r="AO69" s="7606"/>
      <c r="AP69" s="7607"/>
      <c r="AQ69" s="7608"/>
      <c r="AR69" s="7609"/>
      <c r="AS69" s="7610"/>
      <c r="AT69" s="7611"/>
      <c r="AU69" s="7612"/>
      <c r="AV69" s="7613"/>
      <c r="AW69" s="7614"/>
      <c r="AX69" s="7615"/>
      <c r="AY69" s="7616"/>
      <c r="AZ69" s="7617"/>
      <c r="BA69" s="7618"/>
      <c r="BB69" s="7619"/>
      <c r="BC69" s="7620"/>
      <c r="BD69" s="7621"/>
      <c r="BE69" s="7622"/>
      <c r="BF69" s="7623"/>
      <c r="BG69" s="7624"/>
      <c r="BH69" s="7625"/>
      <c r="BI69" s="7626"/>
      <c r="BJ69" s="7627"/>
      <c r="BK69" s="7628"/>
      <c r="BL69" s="7629"/>
      <c r="BM69" s="7630"/>
      <c r="BN69" s="7631"/>
      <c r="BO69" s="7632"/>
      <c r="BP69" s="7633"/>
      <c r="BQ69" s="7634"/>
      <c r="BR69" s="7635"/>
      <c r="BS69" s="7636"/>
      <c r="BT69" s="7637"/>
      <c r="BU69" s="7638"/>
      <c r="BV69" s="7639"/>
      <c r="BW69" s="7640"/>
      <c r="BX69" s="7641"/>
      <c r="BY69" s="7642"/>
      <c r="BZ69" s="7643"/>
      <c r="CA69" s="7644"/>
      <c r="CB69" s="7645"/>
      <c r="CC69" s="7646"/>
      <c r="CD69" s="7647"/>
      <c r="CE69" s="7648"/>
      <c r="CF69" s="7649"/>
      <c r="CG69" s="7650"/>
      <c r="CH69" s="7651"/>
      <c r="CI69" s="7652"/>
      <c r="CJ69" s="7653"/>
      <c r="CK69" s="7654"/>
      <c r="CL69" s="7655"/>
      <c r="CM69" s="7656"/>
      <c r="CN69" s="7657"/>
      <c r="CO69" s="7658"/>
      <c r="CP69" s="7659"/>
      <c r="CQ69" s="7660"/>
      <c r="CR69" s="7661"/>
      <c r="CS69" s="7662"/>
      <c r="CT69" s="7663"/>
      <c r="CU69" s="7664"/>
      <c r="CV69" s="7665"/>
      <c r="CW69" s="7666"/>
      <c r="CX69" s="7667"/>
      <c r="CY69" s="7668"/>
      <c r="CZ69" s="7669"/>
      <c r="DA69" s="7670"/>
      <c r="DB69" s="7671"/>
      <c r="DC69" s="7672"/>
      <c r="DD69" s="7673"/>
      <c r="DE69" s="7674"/>
      <c r="DF69" s="7675"/>
      <c r="DG69" s="7676"/>
      <c r="DH69" s="7677"/>
      <c r="DI69" s="7678"/>
      <c r="DJ69" s="7679"/>
      <c r="DK69" s="7680"/>
      <c r="DL69" s="7681"/>
      <c r="DM69" s="7682"/>
      <c r="DN69" s="7683"/>
      <c r="DO69" s="7684"/>
      <c r="DP69" s="7685"/>
      <c r="DQ69" s="7686"/>
      <c r="DR69" s="7687"/>
      <c r="DS69" s="7688"/>
      <c r="DT69" s="7689"/>
      <c r="DU69" s="7690"/>
      <c r="DV69" s="7691"/>
      <c r="DW69" s="7692"/>
      <c r="DX69" s="7693"/>
      <c r="DY69" s="7694"/>
      <c r="DZ69" s="7695"/>
      <c r="EA69" s="7696"/>
      <c r="EB69" s="20209"/>
      <c r="EC69" s="20210"/>
      <c r="ED69" s="20211"/>
      <c r="EE69" s="20212"/>
      <c r="EF69" s="20213"/>
      <c r="EG69" s="20214"/>
      <c r="EH69" s="20215"/>
      <c r="EI69" s="20216"/>
      <c r="EJ69" s="20217"/>
      <c r="EK69" s="20218"/>
      <c r="EL69" s="20219"/>
      <c r="EM69" s="20220"/>
      <c r="EN69" s="20221"/>
      <c r="EO69" s="20222"/>
      <c r="EP69" s="20223"/>
      <c r="EQ69" s="20224"/>
      <c r="ER69" s="20225"/>
      <c r="ES69" s="20226"/>
      <c r="ET69" s="20227"/>
      <c r="EU69" s="20228"/>
      <c r="EV69" s="20229"/>
      <c r="EW69" s="20230"/>
      <c r="EX69" s="7697"/>
      <c r="EY69" s="7193" t="s">
        <v>526</v>
      </c>
      <c r="EZ69" s="6889"/>
      <c r="FA69" s="7194"/>
      <c r="FB69" s="7194" t="str">
        <f>IF(T69="","",T69)</f>
        <v>Добавить значение признака дифференциации</v>
      </c>
      <c r="FC69" s="7194"/>
      <c r="FD69" s="7194"/>
    </row>
    <row s="33939" customFormat="1" customHeight="1" ht="21">
      <c r="A70" s="7182"/>
      <c r="B70" s="7182"/>
      <c r="C70" s="7182"/>
      <c r="D70" s="7182"/>
      <c r="E70" s="7183"/>
      <c r="F70" s="7183" t="s">
        <v>102</v>
      </c>
      <c r="G70" s="7183"/>
      <c r="H70" s="7183"/>
      <c r="I70" s="7199"/>
      <c r="J70" s="7182"/>
      <c r="K70" s="7182"/>
      <c r="L70" s="7185"/>
      <c r="M70" s="7200"/>
      <c r="N70" s="7200"/>
      <c r="O70" s="7200"/>
      <c r="P70" s="7201"/>
      <c r="Q70" s="7201"/>
      <c r="R70" s="7202"/>
      <c r="S70" s="7699"/>
      <c r="T70" s="7700" t="s">
        <v>453</v>
      </c>
      <c r="U70" s="7701"/>
      <c r="V70" s="7702"/>
      <c r="W70" s="7703"/>
      <c r="X70" s="7704"/>
      <c r="Y70" s="7705"/>
      <c r="Z70" s="7706"/>
      <c r="AA70" s="7707"/>
      <c r="AB70" s="7708"/>
      <c r="AC70" s="7709"/>
      <c r="AD70" s="7710"/>
      <c r="AE70" s="7711"/>
      <c r="AF70" s="7712"/>
      <c r="AG70" s="7713"/>
      <c r="AH70" s="7714"/>
      <c r="AI70" s="7715"/>
      <c r="AJ70" s="7716"/>
      <c r="AK70" s="7717"/>
      <c r="AL70" s="7718"/>
      <c r="AM70" s="7719"/>
      <c r="AN70" s="7720"/>
      <c r="AO70" s="7721"/>
      <c r="AP70" s="7722"/>
      <c r="AQ70" s="7723"/>
      <c r="AR70" s="7724"/>
      <c r="AS70" s="7725"/>
      <c r="AT70" s="7726"/>
      <c r="AU70" s="7727"/>
      <c r="AV70" s="7728"/>
      <c r="AW70" s="7729"/>
      <c r="AX70" s="7730"/>
      <c r="AY70" s="7731"/>
      <c r="AZ70" s="7732"/>
      <c r="BA70" s="7733"/>
      <c r="BB70" s="7734"/>
      <c r="BC70" s="7735"/>
      <c r="BD70" s="7736"/>
      <c r="BE70" s="7737"/>
      <c r="BF70" s="7738"/>
      <c r="BG70" s="7739"/>
      <c r="BH70" s="7740"/>
      <c r="BI70" s="7741"/>
      <c r="BJ70" s="7742"/>
      <c r="BK70" s="7743"/>
      <c r="BL70" s="7744"/>
      <c r="BM70" s="7745"/>
      <c r="BN70" s="7746"/>
      <c r="BO70" s="7747"/>
      <c r="BP70" s="7748"/>
      <c r="BQ70" s="7749"/>
      <c r="BR70" s="7750"/>
      <c r="BS70" s="7751"/>
      <c r="BT70" s="7752"/>
      <c r="BU70" s="7753"/>
      <c r="BV70" s="7754"/>
      <c r="BW70" s="7755"/>
      <c r="BX70" s="7756"/>
      <c r="BY70" s="7757"/>
      <c r="BZ70" s="7758"/>
      <c r="CA70" s="7759"/>
      <c r="CB70" s="7760"/>
      <c r="CC70" s="7761"/>
      <c r="CD70" s="7762"/>
      <c r="CE70" s="7763"/>
      <c r="CF70" s="7764"/>
      <c r="CG70" s="7765"/>
      <c r="CH70" s="7766"/>
      <c r="CI70" s="7767"/>
      <c r="CJ70" s="7768"/>
      <c r="CK70" s="7769"/>
      <c r="CL70" s="7770"/>
      <c r="CM70" s="7771"/>
      <c r="CN70" s="7772"/>
      <c r="CO70" s="7773"/>
      <c r="CP70" s="7774"/>
      <c r="CQ70" s="7775"/>
      <c r="CR70" s="7776"/>
      <c r="CS70" s="7777"/>
      <c r="CT70" s="7778"/>
      <c r="CU70" s="7779"/>
      <c r="CV70" s="7780"/>
      <c r="CW70" s="7781"/>
      <c r="CX70" s="7782"/>
      <c r="CY70" s="7783"/>
      <c r="CZ70" s="7784"/>
      <c r="DA70" s="7785"/>
      <c r="DB70" s="7786"/>
      <c r="DC70" s="7787"/>
      <c r="DD70" s="7788"/>
      <c r="DE70" s="7789"/>
      <c r="DF70" s="7790"/>
      <c r="DG70" s="7791"/>
      <c r="DH70" s="7792"/>
      <c r="DI70" s="7793"/>
      <c r="DJ70" s="7794"/>
      <c r="DK70" s="7795"/>
      <c r="DL70" s="7796"/>
      <c r="DM70" s="7797"/>
      <c r="DN70" s="7798"/>
      <c r="DO70" s="7799"/>
      <c r="DP70" s="7800"/>
      <c r="DQ70" s="7801"/>
      <c r="DR70" s="7802"/>
      <c r="DS70" s="7803"/>
      <c r="DT70" s="7804"/>
      <c r="DU70" s="7805"/>
      <c r="DV70" s="7806"/>
      <c r="DW70" s="7807"/>
      <c r="DX70" s="7808"/>
      <c r="DY70" s="7809"/>
      <c r="DZ70" s="7810"/>
      <c r="EA70" s="7811"/>
      <c r="EB70" s="20346"/>
      <c r="EC70" s="20347"/>
      <c r="ED70" s="20348"/>
      <c r="EE70" s="20349"/>
      <c r="EF70" s="20350"/>
      <c r="EG70" s="20351"/>
      <c r="EH70" s="20352"/>
      <c r="EI70" s="20353"/>
      <c r="EJ70" s="20354"/>
      <c r="EK70" s="20355"/>
      <c r="EL70" s="20356"/>
      <c r="EM70" s="20357"/>
      <c r="EN70" s="20358"/>
      <c r="EO70" s="20359"/>
      <c r="EP70" s="20360"/>
      <c r="EQ70" s="20361"/>
      <c r="ER70" s="20362"/>
      <c r="ES70" s="20363"/>
      <c r="ET70" s="20364"/>
      <c r="EU70" s="20365"/>
      <c r="EV70" s="20366"/>
      <c r="EW70" s="20367"/>
      <c r="EX70" s="7812"/>
      <c r="EY70" s="7813"/>
      <c r="EZ70" s="6889"/>
      <c r="FA70" s="7194"/>
      <c r="FB70" s="7194" t="str">
        <f>IF(T70="","",T70)</f>
        <v>Добавить группу потребителей</v>
      </c>
      <c r="FC70" s="7194"/>
      <c r="FD70" s="7194"/>
    </row>
    <row s="34077" customFormat="1" customHeight="1" ht="21">
      <c r="A71" s="7182"/>
      <c r="B71" s="7182"/>
      <c r="C71" s="7182"/>
      <c r="D71" s="7182"/>
      <c r="E71" s="7183"/>
      <c r="F71" s="7183" t="s">
        <v>102</v>
      </c>
      <c r="G71" s="7183"/>
      <c r="H71" s="7184"/>
      <c r="I71" s="7182"/>
      <c r="J71" s="7182"/>
      <c r="K71" s="7182"/>
      <c r="L71" s="7185"/>
      <c r="M71" s="7186"/>
      <c r="N71" s="7186"/>
      <c r="O71" s="6881"/>
      <c r="P71" s="7451"/>
      <c r="Q71" s="7452"/>
      <c r="R71" s="7453"/>
      <c r="S71" s="7815"/>
      <c r="T71" s="7816" t="s">
        <v>527</v>
      </c>
      <c r="U71" s="7817"/>
      <c r="V71" s="7818"/>
      <c r="W71" s="7819"/>
      <c r="X71" s="7820"/>
      <c r="Y71" s="7821"/>
      <c r="Z71" s="7822"/>
      <c r="AA71" s="7823"/>
      <c r="AB71" s="7824"/>
      <c r="AC71" s="7825"/>
      <c r="AD71" s="7826"/>
      <c r="AE71" s="7827"/>
      <c r="AF71" s="7828"/>
      <c r="AG71" s="7829"/>
      <c r="AH71" s="7830"/>
      <c r="AI71" s="7831"/>
      <c r="AJ71" s="7832"/>
      <c r="AK71" s="7833"/>
      <c r="AL71" s="7834"/>
      <c r="AM71" s="7835"/>
      <c r="AN71" s="7836"/>
      <c r="AO71" s="7837"/>
      <c r="AP71" s="7838"/>
      <c r="AQ71" s="7839"/>
      <c r="AR71" s="7840"/>
      <c r="AS71" s="7841"/>
      <c r="AT71" s="7842"/>
      <c r="AU71" s="7843"/>
      <c r="AV71" s="7844"/>
      <c r="AW71" s="7845"/>
      <c r="AX71" s="7846"/>
      <c r="AY71" s="7847"/>
      <c r="AZ71" s="7848"/>
      <c r="BA71" s="7849"/>
      <c r="BB71" s="7850"/>
      <c r="BC71" s="7851"/>
      <c r="BD71" s="7852"/>
      <c r="BE71" s="7853"/>
      <c r="BF71" s="7854"/>
      <c r="BG71" s="7855"/>
      <c r="BH71" s="7856"/>
      <c r="BI71" s="7857"/>
      <c r="BJ71" s="7858"/>
      <c r="BK71" s="7859"/>
      <c r="BL71" s="7860"/>
      <c r="BM71" s="7861"/>
      <c r="BN71" s="7862"/>
      <c r="BO71" s="7863"/>
      <c r="BP71" s="7864"/>
      <c r="BQ71" s="7865"/>
      <c r="BR71" s="7866"/>
      <c r="BS71" s="7867"/>
      <c r="BT71" s="7868"/>
      <c r="BU71" s="7869"/>
      <c r="BV71" s="7870"/>
      <c r="BW71" s="7871"/>
      <c r="BX71" s="7872"/>
      <c r="BY71" s="7873"/>
      <c r="BZ71" s="7874"/>
      <c r="CA71" s="7875"/>
      <c r="CB71" s="7876"/>
      <c r="CC71" s="7877"/>
      <c r="CD71" s="7878"/>
      <c r="CE71" s="7879"/>
      <c r="CF71" s="7880"/>
      <c r="CG71" s="7881"/>
      <c r="CH71" s="7882"/>
      <c r="CI71" s="7883"/>
      <c r="CJ71" s="7884"/>
      <c r="CK71" s="7885"/>
      <c r="CL71" s="7886"/>
      <c r="CM71" s="7887"/>
      <c r="CN71" s="7888"/>
      <c r="CO71" s="7889"/>
      <c r="CP71" s="7890"/>
      <c r="CQ71" s="7891"/>
      <c r="CR71" s="7892"/>
      <c r="CS71" s="7893"/>
      <c r="CT71" s="7894"/>
      <c r="CU71" s="7895"/>
      <c r="CV71" s="7896"/>
      <c r="CW71" s="7897"/>
      <c r="CX71" s="7898"/>
      <c r="CY71" s="7899"/>
      <c r="CZ71" s="7900"/>
      <c r="DA71" s="7901"/>
      <c r="DB71" s="7902"/>
      <c r="DC71" s="7903"/>
      <c r="DD71" s="7904"/>
      <c r="DE71" s="7905"/>
      <c r="DF71" s="7906"/>
      <c r="DG71" s="7907"/>
      <c r="DH71" s="7908"/>
      <c r="DI71" s="7909"/>
      <c r="DJ71" s="7910"/>
      <c r="DK71" s="7911"/>
      <c r="DL71" s="7912"/>
      <c r="DM71" s="7913"/>
      <c r="DN71" s="7914"/>
      <c r="DO71" s="7915"/>
      <c r="DP71" s="7916"/>
      <c r="DQ71" s="7917"/>
      <c r="DR71" s="7918"/>
      <c r="DS71" s="7919"/>
      <c r="DT71" s="7920"/>
      <c r="DU71" s="7921"/>
      <c r="DV71" s="7922"/>
      <c r="DW71" s="7923"/>
      <c r="DX71" s="7924"/>
      <c r="DY71" s="7925"/>
      <c r="DZ71" s="7926"/>
      <c r="EA71" s="7927"/>
      <c r="EB71" s="20484"/>
      <c r="EC71" s="20485"/>
      <c r="ED71" s="20486"/>
      <c r="EE71" s="20487"/>
      <c r="EF71" s="20488"/>
      <c r="EG71" s="20489"/>
      <c r="EH71" s="20490"/>
      <c r="EI71" s="20491"/>
      <c r="EJ71" s="20492"/>
      <c r="EK71" s="20493"/>
      <c r="EL71" s="20494"/>
      <c r="EM71" s="20495"/>
      <c r="EN71" s="20496"/>
      <c r="EO71" s="20497"/>
      <c r="EP71" s="20498"/>
      <c r="EQ71" s="20499"/>
      <c r="ER71" s="20500"/>
      <c r="ES71" s="20501"/>
      <c r="ET71" s="20502"/>
      <c r="EU71" s="20503"/>
      <c r="EV71" s="20504"/>
      <c r="EW71" s="20505"/>
      <c r="EX71" s="7928"/>
      <c r="EY71" s="7929"/>
      <c r="EZ71" s="6889"/>
      <c r="FA71" s="7194"/>
      <c r="FB71" s="7194" t="str">
        <f>IF(T71="","",T71)</f>
        <v>Добавить наименование признака дифференциации</v>
      </c>
      <c r="FC71" s="7194"/>
      <c r="FD71" s="7194"/>
    </row>
    <row s="34215" customFormat="1" customHeight="1" ht="14.25">
      <c r="A72" s="7570"/>
      <c r="B72" s="7570"/>
      <c r="C72" s="7570"/>
      <c r="D72" s="7570"/>
      <c r="E72" s="7183"/>
      <c r="F72" s="7184" t="s">
        <v>102</v>
      </c>
      <c r="G72" s="7570"/>
      <c r="H72" s="7570"/>
      <c r="I72" s="7570"/>
      <c r="J72" s="7570"/>
      <c r="K72" s="7570"/>
      <c r="L72" s="7571"/>
      <c r="M72" s="7572"/>
      <c r="N72" s="7572"/>
      <c r="O72" s="6889"/>
      <c r="P72" s="7573"/>
      <c r="Q72" s="7574"/>
      <c r="R72" s="7573"/>
      <c r="S72" s="7575"/>
      <c r="T72" s="7576" t="s">
        <v>262</v>
      </c>
      <c r="U72" s="6880"/>
      <c r="V72" s="6880"/>
      <c r="W72" s="6880"/>
      <c r="X72" s="6880"/>
      <c r="Y72" s="6880"/>
      <c r="Z72" s="6880"/>
      <c r="AA72" s="6880"/>
      <c r="AB72" s="6880"/>
      <c r="AC72" s="6880"/>
      <c r="AD72" s="6880"/>
      <c r="AE72" s="6880"/>
      <c r="AF72" s="6880"/>
      <c r="AG72" s="6880"/>
      <c r="AH72" s="6880"/>
      <c r="AI72" s="6880"/>
      <c r="AJ72" s="6880"/>
      <c r="AK72" s="6880"/>
      <c r="AL72" s="6880"/>
      <c r="AM72" s="6880"/>
      <c r="AN72" s="6880"/>
      <c r="AO72" s="6880"/>
      <c r="AP72" s="6880"/>
      <c r="AQ72" s="6880"/>
      <c r="AR72" s="6880"/>
      <c r="AS72" s="6880"/>
      <c r="AT72" s="6880"/>
      <c r="AU72" s="6880"/>
      <c r="AV72" s="6880"/>
      <c r="AW72" s="6880"/>
      <c r="AX72" s="6880"/>
      <c r="AY72" s="6880"/>
      <c r="AZ72" s="6880"/>
      <c r="BA72" s="6880"/>
      <c r="BB72" s="6880"/>
      <c r="BC72" s="6880"/>
      <c r="BD72" s="6880"/>
      <c r="BE72" s="6880"/>
      <c r="BF72" s="6880"/>
      <c r="BG72" s="6880"/>
      <c r="BH72" s="6880"/>
      <c r="BI72" s="6880"/>
      <c r="BJ72" s="6880"/>
      <c r="BK72" s="6880"/>
      <c r="BL72" s="6880"/>
      <c r="BM72" s="6880"/>
      <c r="BN72" s="6880"/>
      <c r="BO72" s="6880"/>
      <c r="BP72" s="6880"/>
      <c r="BQ72" s="6880"/>
      <c r="BR72" s="6880"/>
      <c r="BS72" s="6880"/>
      <c r="BT72" s="6880"/>
      <c r="BU72" s="6880"/>
      <c r="BV72" s="6880"/>
      <c r="BW72" s="6880"/>
      <c r="BX72" s="6880"/>
      <c r="BY72" s="6880"/>
      <c r="BZ72" s="6880"/>
      <c r="CA72" s="6880"/>
      <c r="CB72" s="6880"/>
      <c r="CC72" s="6880"/>
      <c r="CD72" s="6880"/>
      <c r="CE72" s="6880"/>
      <c r="CF72" s="6880"/>
      <c r="CG72" s="6880"/>
      <c r="CH72" s="6880"/>
      <c r="CI72" s="6880"/>
      <c r="CJ72" s="6880"/>
      <c r="CK72" s="6880"/>
      <c r="CL72" s="6880"/>
      <c r="CM72" s="6880"/>
      <c r="CN72" s="6880"/>
      <c r="CO72" s="6880"/>
      <c r="CP72" s="6880"/>
      <c r="CQ72" s="6880"/>
      <c r="CR72" s="6880"/>
      <c r="CS72" s="6880"/>
      <c r="CT72" s="6880"/>
      <c r="CU72" s="6880"/>
      <c r="CV72" s="6880"/>
      <c r="CW72" s="6880"/>
      <c r="CX72" s="6880"/>
      <c r="CY72" s="6880"/>
      <c r="CZ72" s="6880"/>
      <c r="DA72" s="6880"/>
      <c r="DB72" s="6880"/>
      <c r="DC72" s="6880"/>
      <c r="DD72" s="6880"/>
      <c r="DE72" s="6880"/>
      <c r="DF72" s="6880"/>
      <c r="DG72" s="6880"/>
      <c r="DH72" s="6880"/>
      <c r="DI72" s="6880"/>
      <c r="DJ72" s="6880"/>
      <c r="DK72" s="6880"/>
      <c r="DL72" s="6880"/>
      <c r="DM72" s="6880"/>
      <c r="DN72" s="6880"/>
      <c r="DO72" s="6880"/>
      <c r="DP72" s="6880"/>
      <c r="DQ72" s="6880"/>
      <c r="DR72" s="6880"/>
      <c r="DS72" s="6880"/>
      <c r="DT72" s="6880"/>
      <c r="DU72" s="6880"/>
      <c r="DV72" s="6880"/>
      <c r="DW72" s="6880"/>
      <c r="DX72" s="6880"/>
      <c r="DY72" s="6880"/>
      <c r="DZ72" s="6880"/>
      <c r="EA72" s="6880"/>
      <c r="EB72" s="19228"/>
      <c r="EC72" s="19228"/>
      <c r="ED72" s="19228"/>
      <c r="EE72" s="19228"/>
      <c r="EF72" s="19228"/>
      <c r="EG72" s="19228"/>
      <c r="EH72" s="19228"/>
      <c r="EI72" s="19228"/>
      <c r="EJ72" s="19228"/>
      <c r="EK72" s="19228"/>
      <c r="EL72" s="19228"/>
      <c r="EM72" s="19228"/>
      <c r="EN72" s="19228"/>
      <c r="EO72" s="19228"/>
      <c r="EP72" s="19228"/>
      <c r="EQ72" s="19228"/>
      <c r="ER72" s="19228"/>
      <c r="ES72" s="19228"/>
      <c r="ET72" s="19228"/>
      <c r="EU72" s="19228"/>
      <c r="EV72" s="19228"/>
      <c r="EW72" s="19228"/>
      <c r="EX72" s="6880"/>
      <c r="EY72" s="6880"/>
      <c r="EZ72" s="6889"/>
      <c r="FA72" s="7194"/>
      <c r="FB72" s="7194" t="str">
        <f>IF(T72="","",T72)</f>
        <v>Добавить централизованную систему для дифференциации</v>
      </c>
      <c r="FC72" s="7194"/>
      <c r="FD72" s="7194"/>
    </row>
    <row s="32289" customFormat="1" customHeight="1" ht="0">
      <c r="A73" s="1709" t="s">
        <v>259</v>
      </c>
      <c r="B73" s="1709"/>
      <c r="C73" s="1709"/>
      <c r="D73" s="1709"/>
      <c r="E73" s="2527"/>
      <c r="F73" s="1709"/>
      <c r="G73" s="1709"/>
      <c r="H73" s="1709"/>
      <c r="I73" s="1709"/>
      <c r="J73" s="1709"/>
      <c r="K73" s="1709"/>
      <c r="L73" s="1712"/>
      <c r="M73" s="1687"/>
      <c r="N73" s="1687"/>
      <c r="O73" s="879"/>
      <c r="P73" s="741"/>
      <c r="Q73" s="1710"/>
      <c r="R73" s="741"/>
      <c r="S73" s="1688"/>
      <c r="T73" s="1691" t="s">
        <v>270</v>
      </c>
      <c r="U73" s="1690"/>
      <c r="V73" s="1690"/>
      <c r="W73" s="1690"/>
      <c r="X73" s="1690"/>
      <c r="Y73" s="1690"/>
      <c r="Z73" s="1690"/>
      <c r="AA73" s="1690"/>
      <c r="AB73" s="1690"/>
      <c r="AC73" s="1690"/>
      <c r="AD73" s="1690"/>
      <c r="AE73" s="1690"/>
      <c r="AF73" s="1690"/>
      <c r="AG73" s="1690"/>
      <c r="AH73" s="1690"/>
      <c r="AI73" s="1690"/>
      <c r="AJ73" s="1690"/>
      <c r="AK73" s="1690"/>
      <c r="AL73" s="1690"/>
      <c r="AM73" s="1690"/>
      <c r="AN73" s="1690"/>
      <c r="AO73" s="1690"/>
      <c r="AP73" s="1690"/>
      <c r="AQ73" s="1690"/>
      <c r="AR73" s="6880"/>
      <c r="AS73" s="6880"/>
      <c r="AT73" s="6880"/>
      <c r="AU73" s="6880"/>
      <c r="AV73" s="6880"/>
      <c r="AW73" s="6880"/>
      <c r="AX73" s="6880"/>
      <c r="AY73" s="6880"/>
      <c r="AZ73" s="6880"/>
      <c r="BA73" s="6880"/>
      <c r="BB73" s="6880"/>
      <c r="BC73" s="6880"/>
      <c r="BD73" s="6880"/>
      <c r="BE73" s="6880"/>
      <c r="BF73" s="6880"/>
      <c r="BG73" s="6880"/>
      <c r="BH73" s="6880"/>
      <c r="BI73" s="6880"/>
      <c r="BJ73" s="6880"/>
      <c r="BK73" s="6880"/>
      <c r="BL73" s="6880"/>
      <c r="BM73" s="6880"/>
      <c r="BN73" s="6880"/>
      <c r="BO73" s="6880"/>
      <c r="BP73" s="6880"/>
      <c r="BQ73" s="6880"/>
      <c r="BR73" s="6880"/>
      <c r="BS73" s="6880"/>
      <c r="BT73" s="6880"/>
      <c r="BU73" s="6880"/>
      <c r="BV73" s="6880"/>
      <c r="BW73" s="6880"/>
      <c r="BX73" s="6880"/>
      <c r="BY73" s="6880"/>
      <c r="BZ73" s="6880"/>
      <c r="CA73" s="6880"/>
      <c r="CB73" s="6880"/>
      <c r="CC73" s="6880"/>
      <c r="CD73" s="6880"/>
      <c r="CE73" s="6880"/>
      <c r="CF73" s="6880"/>
      <c r="CG73" s="6880"/>
      <c r="CH73" s="6880"/>
      <c r="CI73" s="6880"/>
      <c r="CJ73" s="6880"/>
      <c r="CK73" s="6880"/>
      <c r="CL73" s="6880"/>
      <c r="CM73" s="6880"/>
      <c r="CN73" s="6880"/>
      <c r="CO73" s="6880"/>
      <c r="CP73" s="6880"/>
      <c r="CQ73" s="6880"/>
      <c r="CR73" s="6880"/>
      <c r="CS73" s="6880"/>
      <c r="CT73" s="6880"/>
      <c r="CU73" s="6880"/>
      <c r="CV73" s="6880"/>
      <c r="CW73" s="6880"/>
      <c r="CX73" s="6880"/>
      <c r="CY73" s="6880"/>
      <c r="CZ73" s="6880"/>
      <c r="DA73" s="6880"/>
      <c r="DB73" s="6880"/>
      <c r="DC73" s="6880"/>
      <c r="DD73" s="6880"/>
      <c r="DE73" s="6880"/>
      <c r="DF73" s="6880"/>
      <c r="DG73" s="6880"/>
      <c r="DH73" s="6880"/>
      <c r="DI73" s="6880"/>
      <c r="DJ73" s="6880"/>
      <c r="DK73" s="6880"/>
      <c r="DL73" s="6880"/>
      <c r="DM73" s="6880"/>
      <c r="DN73" s="6880"/>
      <c r="DO73" s="6880"/>
      <c r="DP73" s="6880"/>
      <c r="DQ73" s="6880"/>
      <c r="DR73" s="6880"/>
      <c r="DS73" s="6880"/>
      <c r="DT73" s="6880"/>
      <c r="DU73" s="6880"/>
      <c r="DV73" s="6880"/>
      <c r="DW73" s="6880"/>
      <c r="DX73" s="6880"/>
      <c r="DY73" s="6880"/>
      <c r="DZ73" s="6880"/>
      <c r="EA73" s="6880"/>
      <c r="EB73" s="19228"/>
      <c r="EC73" s="19228"/>
      <c r="ED73" s="19228"/>
      <c r="EE73" s="19228"/>
      <c r="EF73" s="19228"/>
      <c r="EG73" s="19228"/>
      <c r="EH73" s="19228"/>
      <c r="EI73" s="19228"/>
      <c r="EJ73" s="19228"/>
      <c r="EK73" s="19228"/>
      <c r="EL73" s="19228"/>
      <c r="EM73" s="19228"/>
      <c r="EN73" s="19228"/>
      <c r="EO73" s="19228"/>
      <c r="EP73" s="19228"/>
      <c r="EQ73" s="19228"/>
      <c r="ER73" s="19228"/>
      <c r="ES73" s="19228"/>
      <c r="ET73" s="19228"/>
      <c r="EU73" s="19228"/>
      <c r="EV73" s="19228"/>
      <c r="EW73" s="19228"/>
      <c r="EX73" s="1690"/>
      <c r="EY73" s="1690"/>
      <c r="FA73" s="861"/>
      <c r="FB73" s="861" t="str">
        <f>IF(T73="","",T73)</f>
        <v>Добавить территорию для дифференциации</v>
      </c>
      <c r="FC73" s="861"/>
      <c r="FD73" s="861"/>
    </row>
    <row s="34216" customFormat="1" customHeight="1" ht="23.25">
      <c r="A74" s="7182" t="s">
        <v>273</v>
      </c>
      <c r="B74" s="7182"/>
      <c r="C74" s="7182"/>
      <c r="D74" s="7182"/>
      <c r="E74" s="7184" t="s">
        <v>102</v>
      </c>
      <c r="F74" s="7182"/>
      <c r="G74" s="7182"/>
      <c r="H74" s="7182"/>
      <c r="I74" s="7182"/>
      <c r="J74" s="7182"/>
      <c r="K74" s="7182"/>
      <c r="L74" s="7185"/>
      <c r="M74" s="7186"/>
      <c r="N74" s="7186"/>
      <c r="O74" s="7186"/>
      <c r="P74" s="7932"/>
      <c r="Q74" s="7451"/>
      <c r="R74" s="7453"/>
      <c r="S74" s="7190" t="str">
        <f>INDEX(PT_DIFFERENTIATION_NUM_NTAR,MATCH(A74,PT_DIFFERENTIATION_NTAR_ID,0))</f>
        <v>2</v>
      </c>
      <c r="T74" s="7933" t="s">
        <v>131</v>
      </c>
      <c r="U74" s="7192"/>
      <c r="V74" s="6602"/>
      <c r="W74" s="6603"/>
      <c r="X74" s="6603"/>
      <c r="Y74" s="6603"/>
      <c r="Z74" s="6603"/>
      <c r="AA74" s="6603"/>
      <c r="AB74" s="6603"/>
      <c r="AC74" s="6603"/>
      <c r="AD74" s="6603"/>
      <c r="AE74" s="6603"/>
      <c r="AF74" s="6604"/>
      <c r="AG74" s="6602" t="str">
        <f>INDEX(PT_DIFFERENTIATION_NTAR,MATCH(A74,PT_DIFFERENTIATION_NTAR_ID,0))</f>
        <v>Тариф на горячую воду в закрытой системе горячего водоснабжения, поставляемую группе потребителей "население"</v>
      </c>
      <c r="AH74" s="6603"/>
      <c r="AI74" s="6603"/>
      <c r="AJ74" s="6603"/>
      <c r="AK74" s="6603"/>
      <c r="AL74" s="6603"/>
      <c r="AM74" s="6603"/>
      <c r="AN74" s="6603"/>
      <c r="AO74" s="6603"/>
      <c r="AP74" s="6603"/>
      <c r="AQ74" s="6603"/>
      <c r="AR74" s="6602"/>
      <c r="AS74" s="6603"/>
      <c r="AT74" s="6603"/>
      <c r="AU74" s="6603"/>
      <c r="AV74" s="6603"/>
      <c r="AW74" s="6603"/>
      <c r="AX74" s="6603"/>
      <c r="AY74" s="6603"/>
      <c r="AZ74" s="6603"/>
      <c r="BA74" s="6603"/>
      <c r="BB74" s="6604"/>
      <c r="BC74" s="6602"/>
      <c r="BD74" s="6603"/>
      <c r="BE74" s="6603"/>
      <c r="BF74" s="6603"/>
      <c r="BG74" s="6603"/>
      <c r="BH74" s="6603"/>
      <c r="BI74" s="6603"/>
      <c r="BJ74" s="6603"/>
      <c r="BK74" s="6603"/>
      <c r="BL74" s="6603"/>
      <c r="BM74" s="6604"/>
      <c r="BN74" s="6602"/>
      <c r="BO74" s="6603"/>
      <c r="BP74" s="6603"/>
      <c r="BQ74" s="6603"/>
      <c r="BR74" s="6603"/>
      <c r="BS74" s="6603"/>
      <c r="BT74" s="6603"/>
      <c r="BU74" s="6603"/>
      <c r="BV74" s="6603"/>
      <c r="BW74" s="6603"/>
      <c r="BX74" s="6604"/>
      <c r="BY74" s="6602"/>
      <c r="BZ74" s="6603"/>
      <c r="CA74" s="6603"/>
      <c r="CB74" s="6603"/>
      <c r="CC74" s="6603"/>
      <c r="CD74" s="6603"/>
      <c r="CE74" s="6603"/>
      <c r="CF74" s="6603"/>
      <c r="CG74" s="6603"/>
      <c r="CH74" s="6603"/>
      <c r="CI74" s="6604"/>
      <c r="CJ74" s="6602"/>
      <c r="CK74" s="6603"/>
      <c r="CL74" s="6603"/>
      <c r="CM74" s="6603"/>
      <c r="CN74" s="6603"/>
      <c r="CO74" s="6603"/>
      <c r="CP74" s="6603"/>
      <c r="CQ74" s="6603"/>
      <c r="CR74" s="6603"/>
      <c r="CS74" s="6603"/>
      <c r="CT74" s="6604"/>
      <c r="CU74" s="6602"/>
      <c r="CV74" s="6603"/>
      <c r="CW74" s="6603"/>
      <c r="CX74" s="6603"/>
      <c r="CY74" s="6603"/>
      <c r="CZ74" s="6603"/>
      <c r="DA74" s="6603"/>
      <c r="DB74" s="6603"/>
      <c r="DC74" s="6603"/>
      <c r="DD74" s="6603"/>
      <c r="DE74" s="6604"/>
      <c r="DF74" s="6602"/>
      <c r="DG74" s="6603"/>
      <c r="DH74" s="6603"/>
      <c r="DI74" s="6603"/>
      <c r="DJ74" s="6603"/>
      <c r="DK74" s="6603"/>
      <c r="DL74" s="6603"/>
      <c r="DM74" s="6603"/>
      <c r="DN74" s="6603"/>
      <c r="DO74" s="6603"/>
      <c r="DP74" s="6604"/>
      <c r="DQ74" s="6602"/>
      <c r="DR74" s="6603"/>
      <c r="DS74" s="6603"/>
      <c r="DT74" s="6603"/>
      <c r="DU74" s="6603"/>
      <c r="DV74" s="6603"/>
      <c r="DW74" s="6603"/>
      <c r="DX74" s="6603"/>
      <c r="DY74" s="6603"/>
      <c r="DZ74" s="6603"/>
      <c r="EA74" s="6604"/>
      <c r="EB74" s="18872"/>
      <c r="EC74" s="18873"/>
      <c r="ED74" s="18873"/>
      <c r="EE74" s="18873"/>
      <c r="EF74" s="18873"/>
      <c r="EG74" s="18873"/>
      <c r="EH74" s="18873"/>
      <c r="EI74" s="18873"/>
      <c r="EJ74" s="18873"/>
      <c r="EK74" s="18873"/>
      <c r="EL74" s="18874"/>
      <c r="EM74" s="18872"/>
      <c r="EN74" s="18873"/>
      <c r="EO74" s="18873"/>
      <c r="EP74" s="18873"/>
      <c r="EQ74" s="18873"/>
      <c r="ER74" s="18873"/>
      <c r="ES74" s="18873"/>
      <c r="ET74" s="18873"/>
      <c r="EU74" s="18873"/>
      <c r="EV74" s="18873"/>
      <c r="EW74" s="18874"/>
      <c r="EX74" s="6604"/>
      <c r="EY74" s="71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EZ74" s="6889"/>
      <c r="FA74" s="7194"/>
      <c r="FB74" s="7194" t="str">
        <f>IF(T74="","",T74)</f>
        <v>Наименование тарифа</v>
      </c>
      <c r="FC74" s="7194"/>
      <c r="FD74" s="7194"/>
    </row>
    <row s="34219" customFormat="1" customHeight="1" ht="23.25">
      <c r="A75" s="7182"/>
      <c r="B75" s="7182" t="s">
        <v>274</v>
      </c>
      <c r="C75" s="7182"/>
      <c r="D75" s="7182"/>
      <c r="E75" s="7183">
        <v>1</v>
      </c>
      <c r="F75" s="7184">
        <v>1</v>
      </c>
      <c r="G75" s="7182"/>
      <c r="H75" s="7182"/>
      <c r="I75" s="7182"/>
      <c r="J75" s="7182"/>
      <c r="K75" s="7182"/>
      <c r="L75" s="7185"/>
      <c r="M75" s="7186"/>
      <c r="N75" s="7186"/>
      <c r="O75" s="7186"/>
      <c r="P75" s="7187"/>
      <c r="Q75" s="7188"/>
      <c r="R75" s="7189"/>
      <c r="S75" s="7190" t="str">
        <f>INDEX(PT_DIFFERENTIATION_NUM_TER,MATCH(B75,PT_DIFFERENTIATION_TER_ID,0))</f>
        <v>2.1</v>
      </c>
      <c r="T75" s="7191" t="s">
        <v>438</v>
      </c>
      <c r="U75" s="7192"/>
      <c r="V75" s="6602"/>
      <c r="W75" s="6603"/>
      <c r="X75" s="6603"/>
      <c r="Y75" s="6603"/>
      <c r="Z75" s="6603"/>
      <c r="AA75" s="6603"/>
      <c r="AB75" s="6603"/>
      <c r="AC75" s="6603"/>
      <c r="AD75" s="6603"/>
      <c r="AE75" s="6603"/>
      <c r="AF75" s="6604"/>
      <c r="AG75" s="6602" t="str">
        <f>INDEX(PT_DIFFERENTIATION_TER,MATCH(B75,PT_DIFFERENTIATION_TER_ID,0))</f>
        <v>Территория 1</v>
      </c>
      <c r="AH75" s="6603"/>
      <c r="AI75" s="6603"/>
      <c r="AJ75" s="6603"/>
      <c r="AK75" s="6603"/>
      <c r="AL75" s="6603"/>
      <c r="AM75" s="6603"/>
      <c r="AN75" s="6603"/>
      <c r="AO75" s="6603"/>
      <c r="AP75" s="6603"/>
      <c r="AQ75" s="6603"/>
      <c r="AR75" s="6602"/>
      <c r="AS75" s="6603"/>
      <c r="AT75" s="6603"/>
      <c r="AU75" s="6603"/>
      <c r="AV75" s="6603"/>
      <c r="AW75" s="6603"/>
      <c r="AX75" s="6603"/>
      <c r="AY75" s="6603"/>
      <c r="AZ75" s="6603"/>
      <c r="BA75" s="6603"/>
      <c r="BB75" s="6604"/>
      <c r="BC75" s="6602"/>
      <c r="BD75" s="6603"/>
      <c r="BE75" s="6603"/>
      <c r="BF75" s="6603"/>
      <c r="BG75" s="6603"/>
      <c r="BH75" s="6603"/>
      <c r="BI75" s="6603"/>
      <c r="BJ75" s="6603"/>
      <c r="BK75" s="6603"/>
      <c r="BL75" s="6603"/>
      <c r="BM75" s="6604"/>
      <c r="BN75" s="6602"/>
      <c r="BO75" s="6603"/>
      <c r="BP75" s="6603"/>
      <c r="BQ75" s="6603"/>
      <c r="BR75" s="6603"/>
      <c r="BS75" s="6603"/>
      <c r="BT75" s="6603"/>
      <c r="BU75" s="6603"/>
      <c r="BV75" s="6603"/>
      <c r="BW75" s="6603"/>
      <c r="BX75" s="6604"/>
      <c r="BY75" s="6602"/>
      <c r="BZ75" s="6603"/>
      <c r="CA75" s="6603"/>
      <c r="CB75" s="6603"/>
      <c r="CC75" s="6603"/>
      <c r="CD75" s="6603"/>
      <c r="CE75" s="6603"/>
      <c r="CF75" s="6603"/>
      <c r="CG75" s="6603"/>
      <c r="CH75" s="6603"/>
      <c r="CI75" s="6604"/>
      <c r="CJ75" s="6602"/>
      <c r="CK75" s="6603"/>
      <c r="CL75" s="6603"/>
      <c r="CM75" s="6603"/>
      <c r="CN75" s="6603"/>
      <c r="CO75" s="6603"/>
      <c r="CP75" s="6603"/>
      <c r="CQ75" s="6603"/>
      <c r="CR75" s="6603"/>
      <c r="CS75" s="6603"/>
      <c r="CT75" s="6604"/>
      <c r="CU75" s="6602"/>
      <c r="CV75" s="6603"/>
      <c r="CW75" s="6603"/>
      <c r="CX75" s="6603"/>
      <c r="CY75" s="6603"/>
      <c r="CZ75" s="6603"/>
      <c r="DA75" s="6603"/>
      <c r="DB75" s="6603"/>
      <c r="DC75" s="6603"/>
      <c r="DD75" s="6603"/>
      <c r="DE75" s="6604"/>
      <c r="DF75" s="6602"/>
      <c r="DG75" s="6603"/>
      <c r="DH75" s="6603"/>
      <c r="DI75" s="6603"/>
      <c r="DJ75" s="6603"/>
      <c r="DK75" s="6603"/>
      <c r="DL75" s="6603"/>
      <c r="DM75" s="6603"/>
      <c r="DN75" s="6603"/>
      <c r="DO75" s="6603"/>
      <c r="DP75" s="6604"/>
      <c r="DQ75" s="6602"/>
      <c r="DR75" s="6603"/>
      <c r="DS75" s="6603"/>
      <c r="DT75" s="6603"/>
      <c r="DU75" s="6603"/>
      <c r="DV75" s="6603"/>
      <c r="DW75" s="6603"/>
      <c r="DX75" s="6603"/>
      <c r="DY75" s="6603"/>
      <c r="DZ75" s="6603"/>
      <c r="EA75" s="6604"/>
      <c r="EB75" s="18872"/>
      <c r="EC75" s="18873"/>
      <c r="ED75" s="18873"/>
      <c r="EE75" s="18873"/>
      <c r="EF75" s="18873"/>
      <c r="EG75" s="18873"/>
      <c r="EH75" s="18873"/>
      <c r="EI75" s="18873"/>
      <c r="EJ75" s="18873"/>
      <c r="EK75" s="18873"/>
      <c r="EL75" s="18874"/>
      <c r="EM75" s="18872"/>
      <c r="EN75" s="18873"/>
      <c r="EO75" s="18873"/>
      <c r="EP75" s="18873"/>
      <c r="EQ75" s="18873"/>
      <c r="ER75" s="18873"/>
      <c r="ES75" s="18873"/>
      <c r="ET75" s="18873"/>
      <c r="EU75" s="18873"/>
      <c r="EV75" s="18873"/>
      <c r="EW75" s="18874"/>
      <c r="EX75" s="6604"/>
      <c r="EY75" s="7193" t="s">
        <v>439</v>
      </c>
      <c r="EZ75" s="6889"/>
      <c r="FA75" s="7194"/>
      <c r="FB75" s="7194" t="str">
        <f>IF(T75="","",T75)</f>
        <v>Территория действия тарифа</v>
      </c>
      <c r="FC75" s="7194"/>
      <c r="FD75" s="7194"/>
    </row>
    <row s="34220" customFormat="1" customHeight="1" ht="23.25">
      <c r="A76" s="7182"/>
      <c r="B76" s="7182"/>
      <c r="C76" s="7182" t="s">
        <v>275</v>
      </c>
      <c r="D76" s="7182"/>
      <c r="E76" s="7183">
        <v>1</v>
      </c>
      <c r="F76" s="7183"/>
      <c r="G76" s="7184">
        <v>1</v>
      </c>
      <c r="H76" s="7182"/>
      <c r="I76" s="7182"/>
      <c r="J76" s="7182"/>
      <c r="K76" s="7182"/>
      <c r="L76" s="7185"/>
      <c r="M76" s="7186"/>
      <c r="N76" s="7186"/>
      <c r="O76" s="7186"/>
      <c r="P76" s="7196"/>
      <c r="Q76" s="7188"/>
      <c r="R76" s="7189"/>
      <c r="S76" s="7190" t="str">
        <f>INDEX(PT_DIFFERENTIATION_NUM_CS,MATCH(C76,PT_DIFFERENTIATION_CS_ID,0))</f>
        <v>2.1.1</v>
      </c>
      <c r="T76" s="7197" t="s">
        <v>569</v>
      </c>
      <c r="U76" s="7192"/>
      <c r="V76" s="6602"/>
      <c r="W76" s="6603"/>
      <c r="X76" s="6603"/>
      <c r="Y76" s="6603"/>
      <c r="Z76" s="6603"/>
      <c r="AA76" s="6603"/>
      <c r="AB76" s="6603"/>
      <c r="AC76" s="6603"/>
      <c r="AD76" s="6603"/>
      <c r="AE76" s="6603"/>
      <c r="AF76" s="6604"/>
      <c r="AG76" s="6602" t="str">
        <f>INDEX(PT_DIFFERENTIATION_CS,MATCH(C76,PT_DIFFERENTIATION_CS_ID,0))</f>
        <v>н.п. Енский</v>
      </c>
      <c r="AH76" s="6603"/>
      <c r="AI76" s="6603"/>
      <c r="AJ76" s="6603"/>
      <c r="AK76" s="6603"/>
      <c r="AL76" s="6603"/>
      <c r="AM76" s="6603"/>
      <c r="AN76" s="6603"/>
      <c r="AO76" s="6603"/>
      <c r="AP76" s="6603"/>
      <c r="AQ76" s="6603"/>
      <c r="AR76" s="6602"/>
      <c r="AS76" s="6603"/>
      <c r="AT76" s="6603"/>
      <c r="AU76" s="6603"/>
      <c r="AV76" s="6603"/>
      <c r="AW76" s="6603"/>
      <c r="AX76" s="6603"/>
      <c r="AY76" s="6603"/>
      <c r="AZ76" s="6603"/>
      <c r="BA76" s="6603"/>
      <c r="BB76" s="6604"/>
      <c r="BC76" s="6602"/>
      <c r="BD76" s="6603"/>
      <c r="BE76" s="6603"/>
      <c r="BF76" s="6603"/>
      <c r="BG76" s="6603"/>
      <c r="BH76" s="6603"/>
      <c r="BI76" s="6603"/>
      <c r="BJ76" s="6603"/>
      <c r="BK76" s="6603"/>
      <c r="BL76" s="6603"/>
      <c r="BM76" s="6604"/>
      <c r="BN76" s="6602"/>
      <c r="BO76" s="6603"/>
      <c r="BP76" s="6603"/>
      <c r="BQ76" s="6603"/>
      <c r="BR76" s="6603"/>
      <c r="BS76" s="6603"/>
      <c r="BT76" s="6603"/>
      <c r="BU76" s="6603"/>
      <c r="BV76" s="6603"/>
      <c r="BW76" s="6603"/>
      <c r="BX76" s="6604"/>
      <c r="BY76" s="6602"/>
      <c r="BZ76" s="6603"/>
      <c r="CA76" s="6603"/>
      <c r="CB76" s="6603"/>
      <c r="CC76" s="6603"/>
      <c r="CD76" s="6603"/>
      <c r="CE76" s="6603"/>
      <c r="CF76" s="6603"/>
      <c r="CG76" s="6603"/>
      <c r="CH76" s="6603"/>
      <c r="CI76" s="6604"/>
      <c r="CJ76" s="6602"/>
      <c r="CK76" s="6603"/>
      <c r="CL76" s="6603"/>
      <c r="CM76" s="6603"/>
      <c r="CN76" s="6603"/>
      <c r="CO76" s="6603"/>
      <c r="CP76" s="6603"/>
      <c r="CQ76" s="6603"/>
      <c r="CR76" s="6603"/>
      <c r="CS76" s="6603"/>
      <c r="CT76" s="6604"/>
      <c r="CU76" s="6602"/>
      <c r="CV76" s="6603"/>
      <c r="CW76" s="6603"/>
      <c r="CX76" s="6603"/>
      <c r="CY76" s="6603"/>
      <c r="CZ76" s="6603"/>
      <c r="DA76" s="6603"/>
      <c r="DB76" s="6603"/>
      <c r="DC76" s="6603"/>
      <c r="DD76" s="6603"/>
      <c r="DE76" s="6604"/>
      <c r="DF76" s="6602"/>
      <c r="DG76" s="6603"/>
      <c r="DH76" s="6603"/>
      <c r="DI76" s="6603"/>
      <c r="DJ76" s="6603"/>
      <c r="DK76" s="6603"/>
      <c r="DL76" s="6603"/>
      <c r="DM76" s="6603"/>
      <c r="DN76" s="6603"/>
      <c r="DO76" s="6603"/>
      <c r="DP76" s="6604"/>
      <c r="DQ76" s="6602"/>
      <c r="DR76" s="6603"/>
      <c r="DS76" s="6603"/>
      <c r="DT76" s="6603"/>
      <c r="DU76" s="6603"/>
      <c r="DV76" s="6603"/>
      <c r="DW76" s="6603"/>
      <c r="DX76" s="6603"/>
      <c r="DY76" s="6603"/>
      <c r="DZ76" s="6603"/>
      <c r="EA76" s="6604"/>
      <c r="EB76" s="18872"/>
      <c r="EC76" s="18873"/>
      <c r="ED76" s="18873"/>
      <c r="EE76" s="18873"/>
      <c r="EF76" s="18873"/>
      <c r="EG76" s="18873"/>
      <c r="EH76" s="18873"/>
      <c r="EI76" s="18873"/>
      <c r="EJ76" s="18873"/>
      <c r="EK76" s="18873"/>
      <c r="EL76" s="18874"/>
      <c r="EM76" s="18872"/>
      <c r="EN76" s="18873"/>
      <c r="EO76" s="18873"/>
      <c r="EP76" s="18873"/>
      <c r="EQ76" s="18873"/>
      <c r="ER76" s="18873"/>
      <c r="ES76" s="18873"/>
      <c r="ET76" s="18873"/>
      <c r="EU76" s="18873"/>
      <c r="EV76" s="18873"/>
      <c r="EW76" s="18874"/>
      <c r="EX76" s="6604"/>
      <c r="EY76" s="7193" t="s">
        <v>570</v>
      </c>
      <c r="EZ76" s="6889"/>
      <c r="FA76" s="7194"/>
      <c r="FB76" s="7194" t="str">
        <f>IF(T76="","",T76)</f>
        <v>Наименование централизованной системы горячего водоснабжения</v>
      </c>
      <c r="FC76" s="7194"/>
      <c r="FD76" s="7194"/>
    </row>
    <row s="34221" customFormat="1" customHeight="1" ht="23.25">
      <c r="A77" s="7182"/>
      <c r="B77" s="7182"/>
      <c r="C77" s="7182"/>
      <c r="D77" s="7182"/>
      <c r="E77" s="7183">
        <v>1</v>
      </c>
      <c r="F77" s="7183"/>
      <c r="G77" s="7183"/>
      <c r="H77" s="7183"/>
      <c r="I77" s="7199" t="str">
        <f>S76&amp;".1"</f>
        <v>2.1.1.1</v>
      </c>
      <c r="J77" s="7182"/>
      <c r="K77" s="7182"/>
      <c r="L77" s="7185"/>
      <c r="M77" s="7200"/>
      <c r="N77" s="7200"/>
      <c r="O77" s="7200"/>
      <c r="P77" s="7201">
        <v>1</v>
      </c>
      <c r="Q77" s="7201"/>
      <c r="R77" s="7202"/>
      <c r="S77" s="7190" t="str">
        <f>$I77</f>
        <v>2.1.1.1</v>
      </c>
      <c r="T77" s="7203" t="s">
        <v>522</v>
      </c>
      <c r="U77" s="7192"/>
      <c r="V77" s="6605"/>
      <c r="W77" s="6606"/>
      <c r="X77" s="6606"/>
      <c r="Y77" s="6606"/>
      <c r="Z77" s="6606"/>
      <c r="AA77" s="6606"/>
      <c r="AB77" s="6606"/>
      <c r="AC77" s="6606"/>
      <c r="AD77" s="6606"/>
      <c r="AE77" s="6606"/>
      <c r="AF77" s="6607"/>
      <c r="AG77" s="7204"/>
      <c r="AH77" s="7205"/>
      <c r="AI77" s="7205"/>
      <c r="AJ77" s="7205"/>
      <c r="AK77" s="7205"/>
      <c r="AL77" s="7205"/>
      <c r="AM77" s="7205"/>
      <c r="AN77" s="7205"/>
      <c r="AO77" s="7205"/>
      <c r="AP77" s="7205"/>
      <c r="AQ77" s="7205"/>
      <c r="AR77" s="6605"/>
      <c r="AS77" s="6606"/>
      <c r="AT77" s="6606"/>
      <c r="AU77" s="6606"/>
      <c r="AV77" s="6606"/>
      <c r="AW77" s="6606"/>
      <c r="AX77" s="6606"/>
      <c r="AY77" s="6606"/>
      <c r="AZ77" s="6606"/>
      <c r="BA77" s="6606"/>
      <c r="BB77" s="6607"/>
      <c r="BC77" s="6605"/>
      <c r="BD77" s="6606"/>
      <c r="BE77" s="6606"/>
      <c r="BF77" s="6606"/>
      <c r="BG77" s="6606"/>
      <c r="BH77" s="6606"/>
      <c r="BI77" s="6606"/>
      <c r="BJ77" s="6606"/>
      <c r="BK77" s="6606"/>
      <c r="BL77" s="6606"/>
      <c r="BM77" s="6607"/>
      <c r="BN77" s="6605"/>
      <c r="BO77" s="6606"/>
      <c r="BP77" s="6606"/>
      <c r="BQ77" s="6606"/>
      <c r="BR77" s="6606"/>
      <c r="BS77" s="6606"/>
      <c r="BT77" s="6606"/>
      <c r="BU77" s="6606"/>
      <c r="BV77" s="6606"/>
      <c r="BW77" s="6606"/>
      <c r="BX77" s="6607"/>
      <c r="BY77" s="6605"/>
      <c r="BZ77" s="6606"/>
      <c r="CA77" s="6606"/>
      <c r="CB77" s="6606"/>
      <c r="CC77" s="6606"/>
      <c r="CD77" s="6606"/>
      <c r="CE77" s="6606"/>
      <c r="CF77" s="6606"/>
      <c r="CG77" s="6606"/>
      <c r="CH77" s="6606"/>
      <c r="CI77" s="6607"/>
      <c r="CJ77" s="6605"/>
      <c r="CK77" s="6606"/>
      <c r="CL77" s="6606"/>
      <c r="CM77" s="6606"/>
      <c r="CN77" s="6606"/>
      <c r="CO77" s="6606"/>
      <c r="CP77" s="6606"/>
      <c r="CQ77" s="6606"/>
      <c r="CR77" s="6606"/>
      <c r="CS77" s="6606"/>
      <c r="CT77" s="6607"/>
      <c r="CU77" s="6605"/>
      <c r="CV77" s="6606"/>
      <c r="CW77" s="6606"/>
      <c r="CX77" s="6606"/>
      <c r="CY77" s="6606"/>
      <c r="CZ77" s="6606"/>
      <c r="DA77" s="6606"/>
      <c r="DB77" s="6606"/>
      <c r="DC77" s="6606"/>
      <c r="DD77" s="6606"/>
      <c r="DE77" s="6607"/>
      <c r="DF77" s="6605"/>
      <c r="DG77" s="6606"/>
      <c r="DH77" s="6606"/>
      <c r="DI77" s="6606"/>
      <c r="DJ77" s="6606"/>
      <c r="DK77" s="6606"/>
      <c r="DL77" s="6606"/>
      <c r="DM77" s="6606"/>
      <c r="DN77" s="6606"/>
      <c r="DO77" s="6606"/>
      <c r="DP77" s="6607"/>
      <c r="DQ77" s="6605"/>
      <c r="DR77" s="6606"/>
      <c r="DS77" s="6606"/>
      <c r="DT77" s="6606"/>
      <c r="DU77" s="6606"/>
      <c r="DV77" s="6606"/>
      <c r="DW77" s="6606"/>
      <c r="DX77" s="6606"/>
      <c r="DY77" s="6606"/>
      <c r="DZ77" s="6606"/>
      <c r="EA77" s="6607"/>
      <c r="EB77" s="18878"/>
      <c r="EC77" s="18879"/>
      <c r="ED77" s="18879"/>
      <c r="EE77" s="18879"/>
      <c r="EF77" s="18879"/>
      <c r="EG77" s="18879"/>
      <c r="EH77" s="18879"/>
      <c r="EI77" s="18879"/>
      <c r="EJ77" s="18879"/>
      <c r="EK77" s="18879"/>
      <c r="EL77" s="18880"/>
      <c r="EM77" s="18878"/>
      <c r="EN77" s="18879"/>
      <c r="EO77" s="18879"/>
      <c r="EP77" s="18879"/>
      <c r="EQ77" s="18879"/>
      <c r="ER77" s="18879"/>
      <c r="ES77" s="18879"/>
      <c r="ET77" s="18879"/>
      <c r="EU77" s="18879"/>
      <c r="EV77" s="18879"/>
      <c r="EW77" s="18880"/>
      <c r="EX77" s="7206"/>
      <c r="EY77" s="7193" t="s">
        <v>523</v>
      </c>
      <c r="EZ77" s="6889"/>
      <c r="FA77" s="7194"/>
      <c r="FB77" s="7194" t="str">
        <f>IF(T77="","",T77)</f>
        <v>Наименование признака дифференциации</v>
      </c>
      <c r="FC77" s="7194"/>
      <c r="FD77" s="7194"/>
    </row>
    <row s="34222" customFormat="1" customHeight="1" ht="23.25">
      <c r="A78" s="7182"/>
      <c r="B78" s="7182"/>
      <c r="C78" s="7182"/>
      <c r="D78" s="7182"/>
      <c r="E78" s="7183">
        <v>1</v>
      </c>
      <c r="F78" s="7183"/>
      <c r="G78" s="7183"/>
      <c r="H78" s="7183"/>
      <c r="I78" s="7208"/>
      <c r="J78" s="7199" t="str">
        <f>I77&amp;".1"</f>
        <v>2.1.1.1.1</v>
      </c>
      <c r="K78" s="7182"/>
      <c r="L78" s="7185" t="s">
        <v>447</v>
      </c>
      <c r="M78" s="7200"/>
      <c r="N78" s="7200"/>
      <c r="O78" s="7200"/>
      <c r="P78" s="7201"/>
      <c r="Q78" s="7201">
        <v>1</v>
      </c>
      <c r="R78" s="7209"/>
      <c r="S78" s="7190" t="str">
        <f>$J78</f>
        <v>2.1.1.1.1</v>
      </c>
      <c r="T78" s="7210" t="s">
        <v>448</v>
      </c>
      <c r="U78" s="7192"/>
      <c r="V78" s="6608"/>
      <c r="W78" s="6609"/>
      <c r="X78" s="6609"/>
      <c r="Y78" s="6609"/>
      <c r="Z78" s="6609"/>
      <c r="AA78" s="6609"/>
      <c r="AB78" s="6609"/>
      <c r="AC78" s="6609"/>
      <c r="AD78" s="6609"/>
      <c r="AE78" s="6609"/>
      <c r="AF78" s="6610"/>
      <c r="AG78" s="6608" t="s">
        <v>583</v>
      </c>
      <c r="AH78" s="6609"/>
      <c r="AI78" s="6609"/>
      <c r="AJ78" s="6609"/>
      <c r="AK78" s="6609"/>
      <c r="AL78" s="6609"/>
      <c r="AM78" s="6609"/>
      <c r="AN78" s="6609"/>
      <c r="AO78" s="6609"/>
      <c r="AP78" s="6609"/>
      <c r="AQ78" s="6609"/>
      <c r="AR78" s="6608"/>
      <c r="AS78" s="6609"/>
      <c r="AT78" s="6609"/>
      <c r="AU78" s="6609"/>
      <c r="AV78" s="6609"/>
      <c r="AW78" s="6609"/>
      <c r="AX78" s="6609"/>
      <c r="AY78" s="6609"/>
      <c r="AZ78" s="6609"/>
      <c r="BA78" s="6609"/>
      <c r="BB78" s="6610"/>
      <c r="BC78" s="6608"/>
      <c r="BD78" s="6609"/>
      <c r="BE78" s="6609"/>
      <c r="BF78" s="6609"/>
      <c r="BG78" s="6609"/>
      <c r="BH78" s="6609"/>
      <c r="BI78" s="6609"/>
      <c r="BJ78" s="6609"/>
      <c r="BK78" s="6609"/>
      <c r="BL78" s="6609"/>
      <c r="BM78" s="6610"/>
      <c r="BN78" s="6608"/>
      <c r="BO78" s="6609"/>
      <c r="BP78" s="6609"/>
      <c r="BQ78" s="6609"/>
      <c r="BR78" s="6609"/>
      <c r="BS78" s="6609"/>
      <c r="BT78" s="6609"/>
      <c r="BU78" s="6609"/>
      <c r="BV78" s="6609"/>
      <c r="BW78" s="6609"/>
      <c r="BX78" s="6610"/>
      <c r="BY78" s="6608"/>
      <c r="BZ78" s="6609"/>
      <c r="CA78" s="6609"/>
      <c r="CB78" s="6609"/>
      <c r="CC78" s="6609"/>
      <c r="CD78" s="6609"/>
      <c r="CE78" s="6609"/>
      <c r="CF78" s="6609"/>
      <c r="CG78" s="6609"/>
      <c r="CH78" s="6609"/>
      <c r="CI78" s="6610"/>
      <c r="CJ78" s="6608"/>
      <c r="CK78" s="6609"/>
      <c r="CL78" s="6609"/>
      <c r="CM78" s="6609"/>
      <c r="CN78" s="6609"/>
      <c r="CO78" s="6609"/>
      <c r="CP78" s="6609"/>
      <c r="CQ78" s="6609"/>
      <c r="CR78" s="6609"/>
      <c r="CS78" s="6609"/>
      <c r="CT78" s="6610"/>
      <c r="CU78" s="6608"/>
      <c r="CV78" s="6609"/>
      <c r="CW78" s="6609"/>
      <c r="CX78" s="6609"/>
      <c r="CY78" s="6609"/>
      <c r="CZ78" s="6609"/>
      <c r="DA78" s="6609"/>
      <c r="DB78" s="6609"/>
      <c r="DC78" s="6609"/>
      <c r="DD78" s="6609"/>
      <c r="DE78" s="6610"/>
      <c r="DF78" s="6608"/>
      <c r="DG78" s="6609"/>
      <c r="DH78" s="6609"/>
      <c r="DI78" s="6609"/>
      <c r="DJ78" s="6609"/>
      <c r="DK78" s="6609"/>
      <c r="DL78" s="6609"/>
      <c r="DM78" s="6609"/>
      <c r="DN78" s="6609"/>
      <c r="DO78" s="6609"/>
      <c r="DP78" s="6610"/>
      <c r="DQ78" s="6608"/>
      <c r="DR78" s="6609"/>
      <c r="DS78" s="6609"/>
      <c r="DT78" s="6609"/>
      <c r="DU78" s="6609"/>
      <c r="DV78" s="6609"/>
      <c r="DW78" s="6609"/>
      <c r="DX78" s="6609"/>
      <c r="DY78" s="6609"/>
      <c r="DZ78" s="6609"/>
      <c r="EA78" s="6610"/>
      <c r="EB78" s="18884"/>
      <c r="EC78" s="18885"/>
      <c r="ED78" s="18885"/>
      <c r="EE78" s="18885"/>
      <c r="EF78" s="18885"/>
      <c r="EG78" s="18885"/>
      <c r="EH78" s="18885"/>
      <c r="EI78" s="18885"/>
      <c r="EJ78" s="18885"/>
      <c r="EK78" s="18885"/>
      <c r="EL78" s="18886"/>
      <c r="EM78" s="18884"/>
      <c r="EN78" s="18885"/>
      <c r="EO78" s="18885"/>
      <c r="EP78" s="18885"/>
      <c r="EQ78" s="18885"/>
      <c r="ER78" s="18885"/>
      <c r="ES78" s="18885"/>
      <c r="ET78" s="18885"/>
      <c r="EU78" s="18885"/>
      <c r="EV78" s="18885"/>
      <c r="EW78" s="18886"/>
      <c r="EX78" s="6610"/>
      <c r="EY78" s="7211" t="s">
        <v>524</v>
      </c>
      <c r="EZ78" s="6889"/>
      <c r="FA78" s="7194"/>
      <c r="FB78" s="7194" t="str">
        <f>IF(T78="","",T78)</f>
        <v>Группа потребителей</v>
      </c>
      <c r="FC78" s="7194"/>
      <c r="FD78" s="7194"/>
    </row>
    <row s="34223" customFormat="1" customHeight="1" ht="23.25">
      <c r="A79" s="7182"/>
      <c r="B79" s="7182"/>
      <c r="C79" s="7182"/>
      <c r="D79" s="7182"/>
      <c r="E79" s="7183">
        <v>1</v>
      </c>
      <c r="F79" s="7183"/>
      <c r="G79" s="7183"/>
      <c r="H79" s="7183"/>
      <c r="I79" s="7208"/>
      <c r="J79" s="7208"/>
      <c r="K79" s="7199" t="str">
        <f>J78&amp;".1"</f>
        <v>2.1.1.1.1.1</v>
      </c>
      <c r="L79" s="7185"/>
      <c r="M79" s="7200"/>
      <c r="N79" s="7200"/>
      <c r="O79" s="7200"/>
      <c r="P79" s="7201"/>
      <c r="Q79" s="7201"/>
      <c r="R79" s="7209">
        <v>1</v>
      </c>
      <c r="S79" s="7190" t="str">
        <f>$K79</f>
        <v>2.1.1.1.1.1</v>
      </c>
      <c r="T79" s="7213"/>
      <c r="U79" s="7192"/>
      <c r="V79" s="6611"/>
      <c r="W79" s="6611"/>
      <c r="X79" s="6611"/>
      <c r="Y79" s="6611"/>
      <c r="Z79" s="6611"/>
      <c r="AA79" s="6611"/>
      <c r="AB79" s="6611"/>
      <c r="AC79" s="6612"/>
      <c r="AD79" s="6613" t="s">
        <v>66</v>
      </c>
      <c r="AE79" s="6612"/>
      <c r="AF79" s="6613" t="s">
        <v>66</v>
      </c>
      <c r="AG79" s="6611">
        <v>32.42</v>
      </c>
      <c r="AH79" s="6611"/>
      <c r="AI79" s="6611"/>
      <c r="AJ79" s="6611"/>
      <c r="AK79" s="6611">
        <v>3819.54</v>
      </c>
      <c r="AL79" s="6611"/>
      <c r="AM79" s="6611"/>
      <c r="AN79" s="18891">
        <v>44896</v>
      </c>
      <c r="AO79" s="6613" t="s">
        <v>66</v>
      </c>
      <c r="AP79" s="19294">
        <v>45291</v>
      </c>
      <c r="AQ79" s="6613" t="s">
        <v>66</v>
      </c>
      <c r="AR79" s="6611">
        <v>32.42</v>
      </c>
      <c r="AS79" s="6611"/>
      <c r="AT79" s="6611"/>
      <c r="AU79" s="6611"/>
      <c r="AV79" s="6611">
        <v>3819.54</v>
      </c>
      <c r="AW79" s="6611"/>
      <c r="AX79" s="6611"/>
      <c r="AY79" s="18891">
        <v>45292</v>
      </c>
      <c r="AZ79" s="6613" t="s">
        <v>66</v>
      </c>
      <c r="BA79" s="18891">
        <v>45473</v>
      </c>
      <c r="BB79" s="6613" t="s">
        <v>66</v>
      </c>
      <c r="BC79" s="6611">
        <v>36.4</v>
      </c>
      <c r="BD79" s="6611"/>
      <c r="BE79" s="6611"/>
      <c r="BF79" s="6611"/>
      <c r="BG79" s="6611">
        <v>4000</v>
      </c>
      <c r="BH79" s="6611"/>
      <c r="BI79" s="6611"/>
      <c r="BJ79" s="18891">
        <v>45474</v>
      </c>
      <c r="BK79" s="6613" t="s">
        <v>66</v>
      </c>
      <c r="BL79" s="18891">
        <v>45657</v>
      </c>
      <c r="BM79" s="6613" t="s">
        <v>66</v>
      </c>
      <c r="BN79" s="6611">
        <v>33.94</v>
      </c>
      <c r="BO79" s="6611"/>
      <c r="BP79" s="6611"/>
      <c r="BQ79" s="6611"/>
      <c r="BR79" s="6611">
        <v>3999.06</v>
      </c>
      <c r="BS79" s="6611"/>
      <c r="BT79" s="6611"/>
      <c r="BU79" s="18891">
        <v>45658</v>
      </c>
      <c r="BV79" s="6613" t="s">
        <v>66</v>
      </c>
      <c r="BW79" s="18891">
        <v>45838</v>
      </c>
      <c r="BX79" s="6613" t="s">
        <v>66</v>
      </c>
      <c r="BY79" s="6611">
        <v>35.54</v>
      </c>
      <c r="BZ79" s="6611"/>
      <c r="CA79" s="6611"/>
      <c r="CB79" s="6611"/>
      <c r="CC79" s="6611">
        <v>4159.02</v>
      </c>
      <c r="CD79" s="6611"/>
      <c r="CE79" s="6611"/>
      <c r="CF79" s="18891">
        <v>45839</v>
      </c>
      <c r="CG79" s="6613" t="s">
        <v>66</v>
      </c>
      <c r="CH79" s="18891">
        <v>46022</v>
      </c>
      <c r="CI79" s="6613" t="s">
        <v>66</v>
      </c>
      <c r="CJ79" s="6611">
        <v>35.54</v>
      </c>
      <c r="CK79" s="6611"/>
      <c r="CL79" s="6611"/>
      <c r="CM79" s="6611"/>
      <c r="CN79" s="6611">
        <v>4159.02</v>
      </c>
      <c r="CO79" s="6611"/>
      <c r="CP79" s="6611"/>
      <c r="CQ79" s="18891">
        <v>46023</v>
      </c>
      <c r="CR79" s="6613" t="s">
        <v>66</v>
      </c>
      <c r="CS79" s="18891">
        <v>46203</v>
      </c>
      <c r="CT79" s="6613" t="s">
        <v>66</v>
      </c>
      <c r="CU79" s="6611">
        <v>37.21</v>
      </c>
      <c r="CV79" s="6611"/>
      <c r="CW79" s="6611"/>
      <c r="CX79" s="6611"/>
      <c r="CY79" s="6611">
        <v>4325.38</v>
      </c>
      <c r="CZ79" s="6611"/>
      <c r="DA79" s="6611"/>
      <c r="DB79" s="18891">
        <v>46204</v>
      </c>
      <c r="DC79" s="6613" t="s">
        <v>66</v>
      </c>
      <c r="DD79" s="18891">
        <v>46387</v>
      </c>
      <c r="DE79" s="6613" t="s">
        <v>66</v>
      </c>
      <c r="DF79" s="6611">
        <v>37.21</v>
      </c>
      <c r="DG79" s="6611"/>
      <c r="DH79" s="6611"/>
      <c r="DI79" s="6611"/>
      <c r="DJ79" s="6611">
        <v>4325.38</v>
      </c>
      <c r="DK79" s="6611"/>
      <c r="DL79" s="6611"/>
      <c r="DM79" s="18891">
        <v>46388</v>
      </c>
      <c r="DN79" s="6613" t="s">
        <v>66</v>
      </c>
      <c r="DO79" s="18891">
        <v>46568</v>
      </c>
      <c r="DP79" s="6613" t="s">
        <v>66</v>
      </c>
      <c r="DQ79" s="6611">
        <v>38.96</v>
      </c>
      <c r="DR79" s="6611"/>
      <c r="DS79" s="6611"/>
      <c r="DT79" s="6611"/>
      <c r="DU79" s="6611">
        <v>4498.4</v>
      </c>
      <c r="DV79" s="6611"/>
      <c r="DW79" s="6611"/>
      <c r="DX79" s="18891">
        <v>46569</v>
      </c>
      <c r="DY79" s="6613" t="s">
        <v>66</v>
      </c>
      <c r="DZ79" s="18891">
        <v>46752</v>
      </c>
      <c r="EA79" s="6613" t="s">
        <v>66</v>
      </c>
      <c r="EB79" s="18890">
        <v>38.96</v>
      </c>
      <c r="EC79" s="18890"/>
      <c r="ED79" s="18890"/>
      <c r="EE79" s="18890"/>
      <c r="EF79" s="18890">
        <v>4498.4</v>
      </c>
      <c r="EG79" s="18890"/>
      <c r="EH79" s="18890"/>
      <c r="EI79" s="18891">
        <v>46753</v>
      </c>
      <c r="EJ79" s="18892" t="s">
        <v>66</v>
      </c>
      <c r="EK79" s="18891">
        <v>46934</v>
      </c>
      <c r="EL79" s="18892" t="s">
        <v>66</v>
      </c>
      <c r="EM79" s="18890">
        <v>40.79</v>
      </c>
      <c r="EN79" s="18890"/>
      <c r="EO79" s="18890"/>
      <c r="EP79" s="18890"/>
      <c r="EQ79" s="18890">
        <v>4678.34</v>
      </c>
      <c r="ER79" s="18890"/>
      <c r="ES79" s="18890"/>
      <c r="ET79" s="18891">
        <v>46935</v>
      </c>
      <c r="EU79" s="18892" t="s">
        <v>66</v>
      </c>
      <c r="EV79" s="18891">
        <v>47118</v>
      </c>
      <c r="EW79" s="18892" t="s">
        <v>66</v>
      </c>
      <c r="EX79" s="7214"/>
      <c r="EY79" s="72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Z79" s="6889">
        <f>STRCHECKDATE(V80:EX80)</f>
      </c>
      <c r="FA79" s="7194"/>
      <c r="FB79" s="7194" t="str">
        <f>IF(T79="","",T79)</f>
        <v/>
      </c>
      <c r="FC79" s="7194"/>
      <c r="FD79" s="7194"/>
    </row>
    <row s="34224" customFormat="1" customHeight="1" ht="14.25">
      <c r="A80" s="7182"/>
      <c r="B80" s="7182"/>
      <c r="C80" s="7182"/>
      <c r="D80" s="7182"/>
      <c r="E80" s="7183">
        <v>1</v>
      </c>
      <c r="F80" s="7183"/>
      <c r="G80" s="7183"/>
      <c r="H80" s="7183"/>
      <c r="I80" s="7208"/>
      <c r="J80" s="7208"/>
      <c r="K80" s="7199"/>
      <c r="L80" s="7185"/>
      <c r="M80" s="7200"/>
      <c r="N80" s="7200"/>
      <c r="O80" s="7200"/>
      <c r="P80" s="7201"/>
      <c r="Q80" s="7201"/>
      <c r="R80" s="7209"/>
      <c r="S80" s="7217"/>
      <c r="T80" s="7192"/>
      <c r="U80" s="7192"/>
      <c r="V80" s="6614"/>
      <c r="W80" s="6614"/>
      <c r="X80" s="6614"/>
      <c r="Y80" s="6614"/>
      <c r="Z80" s="6614"/>
      <c r="AA80" s="6614"/>
      <c r="AB80" s="6614"/>
      <c r="AC80" s="6615"/>
      <c r="AD80" s="6613"/>
      <c r="AE80" s="6615"/>
      <c r="AF80" s="6613"/>
      <c r="AG80" s="6614"/>
      <c r="AH80" s="6614"/>
      <c r="AI80" s="6614"/>
      <c r="AJ80" s="6614"/>
      <c r="AK80" s="6614"/>
      <c r="AL80" s="6614"/>
      <c r="AM80" s="6614"/>
      <c r="AN80" s="6615"/>
      <c r="AO80" s="6613"/>
      <c r="AP80" s="6916"/>
      <c r="AQ80" s="6613"/>
      <c r="AR80" s="6614"/>
      <c r="AS80" s="6614"/>
      <c r="AT80" s="6614"/>
      <c r="AU80" s="6614"/>
      <c r="AV80" s="6614"/>
      <c r="AW80" s="6614"/>
      <c r="AX80" s="6614"/>
      <c r="AY80" s="6615"/>
      <c r="AZ80" s="6613"/>
      <c r="BA80" s="6615"/>
      <c r="BB80" s="6613"/>
      <c r="BC80" s="6614"/>
      <c r="BD80" s="6614"/>
      <c r="BE80" s="6614"/>
      <c r="BF80" s="6614"/>
      <c r="BG80" s="6614"/>
      <c r="BH80" s="6614"/>
      <c r="BI80" s="6614"/>
      <c r="BJ80" s="6615"/>
      <c r="BK80" s="6613"/>
      <c r="BL80" s="6615"/>
      <c r="BM80" s="6613"/>
      <c r="BN80" s="6614"/>
      <c r="BO80" s="6614"/>
      <c r="BP80" s="6614"/>
      <c r="BQ80" s="6614"/>
      <c r="BR80" s="6614"/>
      <c r="BS80" s="6614"/>
      <c r="BT80" s="6614"/>
      <c r="BU80" s="6615"/>
      <c r="BV80" s="6613"/>
      <c r="BW80" s="6615"/>
      <c r="BX80" s="6613"/>
      <c r="BY80" s="6614"/>
      <c r="BZ80" s="6614"/>
      <c r="CA80" s="6614"/>
      <c r="CB80" s="6614"/>
      <c r="CC80" s="6614"/>
      <c r="CD80" s="6614"/>
      <c r="CE80" s="6614"/>
      <c r="CF80" s="6615"/>
      <c r="CG80" s="6613"/>
      <c r="CH80" s="6615"/>
      <c r="CI80" s="6613"/>
      <c r="CJ80" s="6614"/>
      <c r="CK80" s="6614"/>
      <c r="CL80" s="6614"/>
      <c r="CM80" s="6614"/>
      <c r="CN80" s="6614"/>
      <c r="CO80" s="6614"/>
      <c r="CP80" s="6614"/>
      <c r="CQ80" s="6615"/>
      <c r="CR80" s="6613"/>
      <c r="CS80" s="6615"/>
      <c r="CT80" s="6613"/>
      <c r="CU80" s="6614"/>
      <c r="CV80" s="6614"/>
      <c r="CW80" s="6614"/>
      <c r="CX80" s="6614"/>
      <c r="CY80" s="6614"/>
      <c r="CZ80" s="6614"/>
      <c r="DA80" s="6614"/>
      <c r="DB80" s="6615"/>
      <c r="DC80" s="6613"/>
      <c r="DD80" s="6615"/>
      <c r="DE80" s="6613"/>
      <c r="DF80" s="6614"/>
      <c r="DG80" s="6614"/>
      <c r="DH80" s="6614"/>
      <c r="DI80" s="6614"/>
      <c r="DJ80" s="6614"/>
      <c r="DK80" s="6614"/>
      <c r="DL80" s="6614"/>
      <c r="DM80" s="6615"/>
      <c r="DN80" s="6613"/>
      <c r="DO80" s="6615"/>
      <c r="DP80" s="6613"/>
      <c r="DQ80" s="6614"/>
      <c r="DR80" s="6614"/>
      <c r="DS80" s="6614"/>
      <c r="DT80" s="6614"/>
      <c r="DU80" s="6614"/>
      <c r="DV80" s="6614"/>
      <c r="DW80" s="6614"/>
      <c r="DX80" s="6615"/>
      <c r="DY80" s="6613"/>
      <c r="DZ80" s="6615"/>
      <c r="EA80" s="6613"/>
      <c r="EB80" s="18895"/>
      <c r="EC80" s="18895"/>
      <c r="ED80" s="18895"/>
      <c r="EE80" s="18895"/>
      <c r="EF80" s="18895"/>
      <c r="EG80" s="18895"/>
      <c r="EH80" s="18895"/>
      <c r="EI80" s="18896"/>
      <c r="EJ80" s="18892"/>
      <c r="EK80" s="18896"/>
      <c r="EL80" s="18892"/>
      <c r="EM80" s="18895"/>
      <c r="EN80" s="18895"/>
      <c r="EO80" s="18895"/>
      <c r="EP80" s="18895"/>
      <c r="EQ80" s="18895"/>
      <c r="ER80" s="18895"/>
      <c r="ES80" s="18895"/>
      <c r="ET80" s="18896"/>
      <c r="EU80" s="18892"/>
      <c r="EV80" s="18896"/>
      <c r="EW80" s="18892"/>
      <c r="EX80" s="7218"/>
      <c r="EY80" s="7215"/>
      <c r="EZ80" s="6889"/>
      <c r="FA80" s="7194"/>
      <c r="FB80" s="7194" t="str">
        <f>IF(T80="","",T80)</f>
        <v/>
      </c>
      <c r="FC80" s="7194"/>
      <c r="FD80" s="7194"/>
    </row>
    <row s="34225" customFormat="1" customHeight="1" ht="21">
      <c r="A81" s="7182"/>
      <c r="B81" s="7182"/>
      <c r="C81" s="7182"/>
      <c r="D81" s="7182"/>
      <c r="E81" s="7183">
        <v>1</v>
      </c>
      <c r="F81" s="7183"/>
      <c r="G81" s="7183"/>
      <c r="H81" s="7183"/>
      <c r="I81" s="7208"/>
      <c r="J81" s="7199"/>
      <c r="K81" s="7182"/>
      <c r="L81" s="7185"/>
      <c r="M81" s="7200"/>
      <c r="N81" s="7200"/>
      <c r="O81" s="7200"/>
      <c r="P81" s="7201"/>
      <c r="Q81" s="7201"/>
      <c r="R81" s="7202"/>
      <c r="S81" s="7941"/>
      <c r="T81" s="7942" t="s">
        <v>525</v>
      </c>
      <c r="U81" s="7943"/>
      <c r="V81" s="7944"/>
      <c r="W81" s="7945"/>
      <c r="X81" s="7946"/>
      <c r="Y81" s="7947"/>
      <c r="Z81" s="7948"/>
      <c r="AA81" s="7949"/>
      <c r="AB81" s="7950"/>
      <c r="AC81" s="7951"/>
      <c r="AD81" s="7952"/>
      <c r="AE81" s="7953"/>
      <c r="AF81" s="7954"/>
      <c r="AG81" s="7955"/>
      <c r="AH81" s="7956"/>
      <c r="AI81" s="7957"/>
      <c r="AJ81" s="7958"/>
      <c r="AK81" s="7959"/>
      <c r="AL81" s="7960"/>
      <c r="AM81" s="7961"/>
      <c r="AN81" s="7962"/>
      <c r="AO81" s="7963"/>
      <c r="AP81" s="7964"/>
      <c r="AQ81" s="7965"/>
      <c r="AR81" s="7966"/>
      <c r="AS81" s="7967"/>
      <c r="AT81" s="7968"/>
      <c r="AU81" s="7969"/>
      <c r="AV81" s="7970"/>
      <c r="AW81" s="7971"/>
      <c r="AX81" s="7972"/>
      <c r="AY81" s="7973"/>
      <c r="AZ81" s="7974"/>
      <c r="BA81" s="7975"/>
      <c r="BB81" s="7976"/>
      <c r="BC81" s="7977"/>
      <c r="BD81" s="7978"/>
      <c r="BE81" s="7979"/>
      <c r="BF81" s="7980"/>
      <c r="BG81" s="7981"/>
      <c r="BH81" s="7982"/>
      <c r="BI81" s="7983"/>
      <c r="BJ81" s="7984"/>
      <c r="BK81" s="7985"/>
      <c r="BL81" s="7986"/>
      <c r="BM81" s="7987"/>
      <c r="BN81" s="7988"/>
      <c r="BO81" s="7989"/>
      <c r="BP81" s="7990"/>
      <c r="BQ81" s="7991"/>
      <c r="BR81" s="7992"/>
      <c r="BS81" s="7993"/>
      <c r="BT81" s="7994"/>
      <c r="BU81" s="7995"/>
      <c r="BV81" s="7996"/>
      <c r="BW81" s="7997"/>
      <c r="BX81" s="7998"/>
      <c r="BY81" s="7999"/>
      <c r="BZ81" s="8000"/>
      <c r="CA81" s="8001"/>
      <c r="CB81" s="8002"/>
      <c r="CC81" s="8003"/>
      <c r="CD81" s="8004"/>
      <c r="CE81" s="8005"/>
      <c r="CF81" s="8006"/>
      <c r="CG81" s="8007"/>
      <c r="CH81" s="8008"/>
      <c r="CI81" s="8009"/>
      <c r="CJ81" s="8010"/>
      <c r="CK81" s="8011"/>
      <c r="CL81" s="8012"/>
      <c r="CM81" s="8013"/>
      <c r="CN81" s="8014"/>
      <c r="CO81" s="8015"/>
      <c r="CP81" s="8016"/>
      <c r="CQ81" s="8017"/>
      <c r="CR81" s="8018"/>
      <c r="CS81" s="8019"/>
      <c r="CT81" s="8020"/>
      <c r="CU81" s="8021"/>
      <c r="CV81" s="8022"/>
      <c r="CW81" s="8023"/>
      <c r="CX81" s="8024"/>
      <c r="CY81" s="8025"/>
      <c r="CZ81" s="8026"/>
      <c r="DA81" s="8027"/>
      <c r="DB81" s="8028"/>
      <c r="DC81" s="8029"/>
      <c r="DD81" s="8030"/>
      <c r="DE81" s="8031"/>
      <c r="DF81" s="8032"/>
      <c r="DG81" s="8033"/>
      <c r="DH81" s="8034"/>
      <c r="DI81" s="8035"/>
      <c r="DJ81" s="8036"/>
      <c r="DK81" s="8037"/>
      <c r="DL81" s="8038"/>
      <c r="DM81" s="8039"/>
      <c r="DN81" s="8040"/>
      <c r="DO81" s="8041"/>
      <c r="DP81" s="8042"/>
      <c r="DQ81" s="8043"/>
      <c r="DR81" s="8044"/>
      <c r="DS81" s="8045"/>
      <c r="DT81" s="8046"/>
      <c r="DU81" s="8047"/>
      <c r="DV81" s="8048"/>
      <c r="DW81" s="8049"/>
      <c r="DX81" s="8050"/>
      <c r="DY81" s="8051"/>
      <c r="DZ81" s="8052"/>
      <c r="EA81" s="8053"/>
      <c r="EB81" s="20632"/>
      <c r="EC81" s="20633"/>
      <c r="ED81" s="20634"/>
      <c r="EE81" s="20635"/>
      <c r="EF81" s="20636"/>
      <c r="EG81" s="20637"/>
      <c r="EH81" s="20638"/>
      <c r="EI81" s="20639"/>
      <c r="EJ81" s="20640"/>
      <c r="EK81" s="20641"/>
      <c r="EL81" s="20642"/>
      <c r="EM81" s="20643"/>
      <c r="EN81" s="20644"/>
      <c r="EO81" s="20645"/>
      <c r="EP81" s="20646"/>
      <c r="EQ81" s="20647"/>
      <c r="ER81" s="20648"/>
      <c r="ES81" s="20649"/>
      <c r="ET81" s="20650"/>
      <c r="EU81" s="20651"/>
      <c r="EV81" s="20652"/>
      <c r="EW81" s="20653"/>
      <c r="EX81" s="8054"/>
      <c r="EY81" s="7193" t="s">
        <v>526</v>
      </c>
      <c r="EZ81" s="6889"/>
      <c r="FA81" s="7194"/>
      <c r="FB81" s="7194" t="str">
        <f>IF(T81="","",T81)</f>
        <v>Добавить значение признака дифференциации</v>
      </c>
      <c r="FC81" s="7194"/>
      <c r="FD81" s="7194"/>
    </row>
    <row s="34362" customFormat="1" customHeight="1" ht="21">
      <c r="A82" s="7182"/>
      <c r="B82" s="7182"/>
      <c r="C82" s="7182"/>
      <c r="D82" s="7182"/>
      <c r="E82" s="7183">
        <v>1</v>
      </c>
      <c r="F82" s="7183"/>
      <c r="G82" s="7183"/>
      <c r="H82" s="7183"/>
      <c r="I82" s="7199"/>
      <c r="J82" s="7182"/>
      <c r="K82" s="7182"/>
      <c r="L82" s="7185"/>
      <c r="M82" s="7200"/>
      <c r="N82" s="7200"/>
      <c r="O82" s="7200"/>
      <c r="P82" s="7201"/>
      <c r="Q82" s="7201"/>
      <c r="R82" s="7202"/>
      <c r="S82" s="8056"/>
      <c r="T82" s="8057" t="s">
        <v>453</v>
      </c>
      <c r="U82" s="8058"/>
      <c r="V82" s="8059"/>
      <c r="W82" s="8060"/>
      <c r="X82" s="8061"/>
      <c r="Y82" s="8062"/>
      <c r="Z82" s="8063"/>
      <c r="AA82" s="8064"/>
      <c r="AB82" s="8065"/>
      <c r="AC82" s="8066"/>
      <c r="AD82" s="8067"/>
      <c r="AE82" s="8068"/>
      <c r="AF82" s="8069"/>
      <c r="AG82" s="8070"/>
      <c r="AH82" s="8071"/>
      <c r="AI82" s="8072"/>
      <c r="AJ82" s="8073"/>
      <c r="AK82" s="8074"/>
      <c r="AL82" s="8075"/>
      <c r="AM82" s="8076"/>
      <c r="AN82" s="8077"/>
      <c r="AO82" s="8078"/>
      <c r="AP82" s="8079"/>
      <c r="AQ82" s="8080"/>
      <c r="AR82" s="8081"/>
      <c r="AS82" s="8082"/>
      <c r="AT82" s="8083"/>
      <c r="AU82" s="8084"/>
      <c r="AV82" s="8085"/>
      <c r="AW82" s="8086"/>
      <c r="AX82" s="8087"/>
      <c r="AY82" s="8088"/>
      <c r="AZ82" s="8089"/>
      <c r="BA82" s="8090"/>
      <c r="BB82" s="8091"/>
      <c r="BC82" s="8092"/>
      <c r="BD82" s="8093"/>
      <c r="BE82" s="8094"/>
      <c r="BF82" s="8095"/>
      <c r="BG82" s="8096"/>
      <c r="BH82" s="8097"/>
      <c r="BI82" s="8098"/>
      <c r="BJ82" s="8099"/>
      <c r="BK82" s="8100"/>
      <c r="BL82" s="8101"/>
      <c r="BM82" s="8102"/>
      <c r="BN82" s="8103"/>
      <c r="BO82" s="8104"/>
      <c r="BP82" s="8105"/>
      <c r="BQ82" s="8106"/>
      <c r="BR82" s="8107"/>
      <c r="BS82" s="8108"/>
      <c r="BT82" s="8109"/>
      <c r="BU82" s="8110"/>
      <c r="BV82" s="8111"/>
      <c r="BW82" s="8112"/>
      <c r="BX82" s="8113"/>
      <c r="BY82" s="8114"/>
      <c r="BZ82" s="8115"/>
      <c r="CA82" s="8116"/>
      <c r="CB82" s="8117"/>
      <c r="CC82" s="8118"/>
      <c r="CD82" s="8119"/>
      <c r="CE82" s="8120"/>
      <c r="CF82" s="8121"/>
      <c r="CG82" s="8122"/>
      <c r="CH82" s="8123"/>
      <c r="CI82" s="8124"/>
      <c r="CJ82" s="8125"/>
      <c r="CK82" s="8126"/>
      <c r="CL82" s="8127"/>
      <c r="CM82" s="8128"/>
      <c r="CN82" s="8129"/>
      <c r="CO82" s="8130"/>
      <c r="CP82" s="8131"/>
      <c r="CQ82" s="8132"/>
      <c r="CR82" s="8133"/>
      <c r="CS82" s="8134"/>
      <c r="CT82" s="8135"/>
      <c r="CU82" s="8136"/>
      <c r="CV82" s="8137"/>
      <c r="CW82" s="8138"/>
      <c r="CX82" s="8139"/>
      <c r="CY82" s="8140"/>
      <c r="CZ82" s="8141"/>
      <c r="DA82" s="8142"/>
      <c r="DB82" s="8143"/>
      <c r="DC82" s="8144"/>
      <c r="DD82" s="8145"/>
      <c r="DE82" s="8146"/>
      <c r="DF82" s="8147"/>
      <c r="DG82" s="8148"/>
      <c r="DH82" s="8149"/>
      <c r="DI82" s="8150"/>
      <c r="DJ82" s="8151"/>
      <c r="DK82" s="8152"/>
      <c r="DL82" s="8153"/>
      <c r="DM82" s="8154"/>
      <c r="DN82" s="8155"/>
      <c r="DO82" s="8156"/>
      <c r="DP82" s="8157"/>
      <c r="DQ82" s="8158"/>
      <c r="DR82" s="8159"/>
      <c r="DS82" s="8160"/>
      <c r="DT82" s="8161"/>
      <c r="DU82" s="8162"/>
      <c r="DV82" s="8163"/>
      <c r="DW82" s="8164"/>
      <c r="DX82" s="8165"/>
      <c r="DY82" s="8166"/>
      <c r="DZ82" s="8167"/>
      <c r="EA82" s="8168"/>
      <c r="EB82" s="20769"/>
      <c r="EC82" s="20770"/>
      <c r="ED82" s="20771"/>
      <c r="EE82" s="20772"/>
      <c r="EF82" s="20773"/>
      <c r="EG82" s="20774"/>
      <c r="EH82" s="20775"/>
      <c r="EI82" s="20776"/>
      <c r="EJ82" s="20777"/>
      <c r="EK82" s="20778"/>
      <c r="EL82" s="20779"/>
      <c r="EM82" s="20780"/>
      <c r="EN82" s="20781"/>
      <c r="EO82" s="20782"/>
      <c r="EP82" s="20783"/>
      <c r="EQ82" s="20784"/>
      <c r="ER82" s="20785"/>
      <c r="ES82" s="20786"/>
      <c r="ET82" s="20787"/>
      <c r="EU82" s="20788"/>
      <c r="EV82" s="20789"/>
      <c r="EW82" s="20790"/>
      <c r="EX82" s="8169"/>
      <c r="EY82" s="8170"/>
      <c r="EZ82" s="6889"/>
      <c r="FA82" s="7194"/>
      <c r="FB82" s="7194" t="str">
        <f>IF(T82="","",T82)</f>
        <v>Добавить группу потребителей</v>
      </c>
      <c r="FC82" s="7194"/>
      <c r="FD82" s="7194"/>
    </row>
    <row s="34500" customFormat="1" customHeight="1" ht="21">
      <c r="A83" s="7182"/>
      <c r="B83" s="7182"/>
      <c r="C83" s="7182"/>
      <c r="D83" s="7182"/>
      <c r="E83" s="7183">
        <v>1</v>
      </c>
      <c r="F83" s="7183"/>
      <c r="G83" s="7183"/>
      <c r="H83" s="7184"/>
      <c r="I83" s="7182"/>
      <c r="J83" s="7182"/>
      <c r="K83" s="7182"/>
      <c r="L83" s="7185"/>
      <c r="M83" s="7186"/>
      <c r="N83" s="7186"/>
      <c r="O83" s="6881"/>
      <c r="P83" s="7451"/>
      <c r="Q83" s="7452"/>
      <c r="R83" s="7453"/>
      <c r="S83" s="8172"/>
      <c r="T83" s="8173" t="s">
        <v>527</v>
      </c>
      <c r="U83" s="8174"/>
      <c r="V83" s="8175"/>
      <c r="W83" s="8176"/>
      <c r="X83" s="8177"/>
      <c r="Y83" s="8178"/>
      <c r="Z83" s="8179"/>
      <c r="AA83" s="8180"/>
      <c r="AB83" s="8181"/>
      <c r="AC83" s="8182"/>
      <c r="AD83" s="8183"/>
      <c r="AE83" s="8184"/>
      <c r="AF83" s="8185"/>
      <c r="AG83" s="8186"/>
      <c r="AH83" s="8187"/>
      <c r="AI83" s="8188"/>
      <c r="AJ83" s="8189"/>
      <c r="AK83" s="8190"/>
      <c r="AL83" s="8191"/>
      <c r="AM83" s="8192"/>
      <c r="AN83" s="8193"/>
      <c r="AO83" s="8194"/>
      <c r="AP83" s="8195"/>
      <c r="AQ83" s="8196"/>
      <c r="AR83" s="8197"/>
      <c r="AS83" s="8198"/>
      <c r="AT83" s="8199"/>
      <c r="AU83" s="8200"/>
      <c r="AV83" s="8201"/>
      <c r="AW83" s="8202"/>
      <c r="AX83" s="8203"/>
      <c r="AY83" s="8204"/>
      <c r="AZ83" s="8205"/>
      <c r="BA83" s="8206"/>
      <c r="BB83" s="8207"/>
      <c r="BC83" s="8208"/>
      <c r="BD83" s="8209"/>
      <c r="BE83" s="8210"/>
      <c r="BF83" s="8211"/>
      <c r="BG83" s="8212"/>
      <c r="BH83" s="8213"/>
      <c r="BI83" s="8214"/>
      <c r="BJ83" s="8215"/>
      <c r="BK83" s="8216"/>
      <c r="BL83" s="8217"/>
      <c r="BM83" s="8218"/>
      <c r="BN83" s="8219"/>
      <c r="BO83" s="8220"/>
      <c r="BP83" s="8221"/>
      <c r="BQ83" s="8222"/>
      <c r="BR83" s="8223"/>
      <c r="BS83" s="8224"/>
      <c r="BT83" s="8225"/>
      <c r="BU83" s="8226"/>
      <c r="BV83" s="8227"/>
      <c r="BW83" s="8228"/>
      <c r="BX83" s="8229"/>
      <c r="BY83" s="8230"/>
      <c r="BZ83" s="8231"/>
      <c r="CA83" s="8232"/>
      <c r="CB83" s="8233"/>
      <c r="CC83" s="8234"/>
      <c r="CD83" s="8235"/>
      <c r="CE83" s="8236"/>
      <c r="CF83" s="8237"/>
      <c r="CG83" s="8238"/>
      <c r="CH83" s="8239"/>
      <c r="CI83" s="8240"/>
      <c r="CJ83" s="8241"/>
      <c r="CK83" s="8242"/>
      <c r="CL83" s="8243"/>
      <c r="CM83" s="8244"/>
      <c r="CN83" s="8245"/>
      <c r="CO83" s="8246"/>
      <c r="CP83" s="8247"/>
      <c r="CQ83" s="8248"/>
      <c r="CR83" s="8249"/>
      <c r="CS83" s="8250"/>
      <c r="CT83" s="8251"/>
      <c r="CU83" s="8252"/>
      <c r="CV83" s="8253"/>
      <c r="CW83" s="8254"/>
      <c r="CX83" s="8255"/>
      <c r="CY83" s="8256"/>
      <c r="CZ83" s="8257"/>
      <c r="DA83" s="8258"/>
      <c r="DB83" s="8259"/>
      <c r="DC83" s="8260"/>
      <c r="DD83" s="8261"/>
      <c r="DE83" s="8262"/>
      <c r="DF83" s="8263"/>
      <c r="DG83" s="8264"/>
      <c r="DH83" s="8265"/>
      <c r="DI83" s="8266"/>
      <c r="DJ83" s="8267"/>
      <c r="DK83" s="8268"/>
      <c r="DL83" s="8269"/>
      <c r="DM83" s="8270"/>
      <c r="DN83" s="8271"/>
      <c r="DO83" s="8272"/>
      <c r="DP83" s="8273"/>
      <c r="DQ83" s="8274"/>
      <c r="DR83" s="8275"/>
      <c r="DS83" s="8276"/>
      <c r="DT83" s="8277"/>
      <c r="DU83" s="8278"/>
      <c r="DV83" s="8279"/>
      <c r="DW83" s="8280"/>
      <c r="DX83" s="8281"/>
      <c r="DY83" s="8282"/>
      <c r="DZ83" s="8283"/>
      <c r="EA83" s="8284"/>
      <c r="EB83" s="20907"/>
      <c r="EC83" s="20908"/>
      <c r="ED83" s="20909"/>
      <c r="EE83" s="20910"/>
      <c r="EF83" s="20911"/>
      <c r="EG83" s="20912"/>
      <c r="EH83" s="20913"/>
      <c r="EI83" s="20914"/>
      <c r="EJ83" s="20915"/>
      <c r="EK83" s="20916"/>
      <c r="EL83" s="20917"/>
      <c r="EM83" s="20918"/>
      <c r="EN83" s="20919"/>
      <c r="EO83" s="20920"/>
      <c r="EP83" s="20921"/>
      <c r="EQ83" s="20922"/>
      <c r="ER83" s="20923"/>
      <c r="ES83" s="20924"/>
      <c r="ET83" s="20925"/>
      <c r="EU83" s="20926"/>
      <c r="EV83" s="20927"/>
      <c r="EW83" s="20928"/>
      <c r="EX83" s="8285"/>
      <c r="EY83" s="8286"/>
      <c r="EZ83" s="6889"/>
      <c r="FA83" s="7194"/>
      <c r="FB83" s="7194" t="str">
        <f>IF(T83="","",T83)</f>
        <v>Добавить наименование признака дифференциации</v>
      </c>
      <c r="FC83" s="7194"/>
      <c r="FD83" s="7194"/>
    </row>
    <row s="34638" customFormat="1" customHeight="1" ht="14.25">
      <c r="A84" s="7570"/>
      <c r="B84" s="7570"/>
      <c r="C84" s="7570"/>
      <c r="D84" s="7570"/>
      <c r="E84" s="7183">
        <v>1</v>
      </c>
      <c r="F84" s="7184"/>
      <c r="G84" s="7570"/>
      <c r="H84" s="7570"/>
      <c r="I84" s="7570"/>
      <c r="J84" s="7570"/>
      <c r="K84" s="7570"/>
      <c r="L84" s="7571"/>
      <c r="M84" s="7572"/>
      <c r="N84" s="7572"/>
      <c r="O84" s="6889"/>
      <c r="P84" s="7573"/>
      <c r="Q84" s="7574"/>
      <c r="R84" s="7573"/>
      <c r="S84" s="7575"/>
      <c r="T84" s="7576" t="s">
        <v>262</v>
      </c>
      <c r="U84" s="6880"/>
      <c r="V84" s="6880"/>
      <c r="W84" s="6880"/>
      <c r="X84" s="6880"/>
      <c r="Y84" s="6880"/>
      <c r="Z84" s="6880"/>
      <c r="AA84" s="6880"/>
      <c r="AB84" s="6880"/>
      <c r="AC84" s="6880"/>
      <c r="AD84" s="6880"/>
      <c r="AE84" s="6880"/>
      <c r="AF84" s="6880"/>
      <c r="AG84" s="6880"/>
      <c r="AH84" s="6880"/>
      <c r="AI84" s="6880"/>
      <c r="AJ84" s="6880"/>
      <c r="AK84" s="6880"/>
      <c r="AL84" s="6880"/>
      <c r="AM84" s="6880"/>
      <c r="AN84" s="6880"/>
      <c r="AO84" s="6880"/>
      <c r="AP84" s="6880"/>
      <c r="AQ84" s="6880"/>
      <c r="AR84" s="6880"/>
      <c r="AS84" s="6880"/>
      <c r="AT84" s="6880"/>
      <c r="AU84" s="6880"/>
      <c r="AV84" s="6880"/>
      <c r="AW84" s="6880"/>
      <c r="AX84" s="6880"/>
      <c r="AY84" s="6880"/>
      <c r="AZ84" s="6880"/>
      <c r="BA84" s="6880"/>
      <c r="BB84" s="6880"/>
      <c r="BC84" s="6880"/>
      <c r="BD84" s="6880"/>
      <c r="BE84" s="6880"/>
      <c r="BF84" s="6880"/>
      <c r="BG84" s="6880"/>
      <c r="BH84" s="6880"/>
      <c r="BI84" s="6880"/>
      <c r="BJ84" s="6880"/>
      <c r="BK84" s="6880"/>
      <c r="BL84" s="6880"/>
      <c r="BM84" s="6880"/>
      <c r="BN84" s="6880"/>
      <c r="BO84" s="6880"/>
      <c r="BP84" s="6880"/>
      <c r="BQ84" s="6880"/>
      <c r="BR84" s="6880"/>
      <c r="BS84" s="6880"/>
      <c r="BT84" s="6880"/>
      <c r="BU84" s="6880"/>
      <c r="BV84" s="6880"/>
      <c r="BW84" s="6880"/>
      <c r="BX84" s="6880"/>
      <c r="BY84" s="6880"/>
      <c r="BZ84" s="6880"/>
      <c r="CA84" s="6880"/>
      <c r="CB84" s="6880"/>
      <c r="CC84" s="6880"/>
      <c r="CD84" s="6880"/>
      <c r="CE84" s="6880"/>
      <c r="CF84" s="6880"/>
      <c r="CG84" s="6880"/>
      <c r="CH84" s="6880"/>
      <c r="CI84" s="6880"/>
      <c r="CJ84" s="6880"/>
      <c r="CK84" s="6880"/>
      <c r="CL84" s="6880"/>
      <c r="CM84" s="6880"/>
      <c r="CN84" s="6880"/>
      <c r="CO84" s="6880"/>
      <c r="CP84" s="6880"/>
      <c r="CQ84" s="6880"/>
      <c r="CR84" s="6880"/>
      <c r="CS84" s="6880"/>
      <c r="CT84" s="6880"/>
      <c r="CU84" s="6880"/>
      <c r="CV84" s="6880"/>
      <c r="CW84" s="6880"/>
      <c r="CX84" s="6880"/>
      <c r="CY84" s="6880"/>
      <c r="CZ84" s="6880"/>
      <c r="DA84" s="6880"/>
      <c r="DB84" s="6880"/>
      <c r="DC84" s="6880"/>
      <c r="DD84" s="6880"/>
      <c r="DE84" s="6880"/>
      <c r="DF84" s="6880"/>
      <c r="DG84" s="6880"/>
      <c r="DH84" s="6880"/>
      <c r="DI84" s="6880"/>
      <c r="DJ84" s="6880"/>
      <c r="DK84" s="6880"/>
      <c r="DL84" s="6880"/>
      <c r="DM84" s="6880"/>
      <c r="DN84" s="6880"/>
      <c r="DO84" s="6880"/>
      <c r="DP84" s="6880"/>
      <c r="DQ84" s="6880"/>
      <c r="DR84" s="6880"/>
      <c r="DS84" s="6880"/>
      <c r="DT84" s="6880"/>
      <c r="DU84" s="6880"/>
      <c r="DV84" s="6880"/>
      <c r="DW84" s="6880"/>
      <c r="DX84" s="6880"/>
      <c r="DY84" s="6880"/>
      <c r="DZ84" s="6880"/>
      <c r="EA84" s="6880"/>
      <c r="EB84" s="19228"/>
      <c r="EC84" s="19228"/>
      <c r="ED84" s="19228"/>
      <c r="EE84" s="19228"/>
      <c r="EF84" s="19228"/>
      <c r="EG84" s="19228"/>
      <c r="EH84" s="19228"/>
      <c r="EI84" s="19228"/>
      <c r="EJ84" s="19228"/>
      <c r="EK84" s="19228"/>
      <c r="EL84" s="19228"/>
      <c r="EM84" s="19228"/>
      <c r="EN84" s="19228"/>
      <c r="EO84" s="19228"/>
      <c r="EP84" s="19228"/>
      <c r="EQ84" s="19228"/>
      <c r="ER84" s="19228"/>
      <c r="ES84" s="19228"/>
      <c r="ET84" s="19228"/>
      <c r="EU84" s="19228"/>
      <c r="EV84" s="19228"/>
      <c r="EW84" s="19228"/>
      <c r="EX84" s="6880"/>
      <c r="EY84" s="6880"/>
      <c r="EZ84" s="6889"/>
      <c r="FA84" s="7194"/>
      <c r="FB84" s="7194" t="str">
        <f>IF(T84="","",T84)</f>
        <v>Добавить централизованную систему для дифференциации</v>
      </c>
      <c r="FC84" s="7194"/>
      <c r="FD84" s="7194"/>
    </row>
    <row s="34639" customFormat="1" customHeight="1" ht="23.25">
      <c r="A85" s="7182"/>
      <c r="B85" s="7182" t="s">
        <v>277</v>
      </c>
      <c r="C85" s="7182"/>
      <c r="D85" s="7182"/>
      <c r="E85" s="7183"/>
      <c r="F85" s="7184" t="s">
        <v>102</v>
      </c>
      <c r="G85" s="7182"/>
      <c r="H85" s="7182"/>
      <c r="I85" s="7182"/>
      <c r="J85" s="7182"/>
      <c r="K85" s="7182"/>
      <c r="L85" s="7185"/>
      <c r="M85" s="7186"/>
      <c r="N85" s="7186"/>
      <c r="O85" s="7186"/>
      <c r="P85" s="7187"/>
      <c r="Q85" s="7188"/>
      <c r="R85" s="7189"/>
      <c r="S85" s="7190" t="str">
        <f>INDEX(PT_DIFFERENTIATION_NUM_TER,MATCH(B85,PT_DIFFERENTIATION_TER_ID,0))</f>
        <v>2.2</v>
      </c>
      <c r="T85" s="7191" t="s">
        <v>438</v>
      </c>
      <c r="U85" s="7192"/>
      <c r="V85" s="6602"/>
      <c r="W85" s="6603"/>
      <c r="X85" s="6603"/>
      <c r="Y85" s="6603"/>
      <c r="Z85" s="6603"/>
      <c r="AA85" s="6603"/>
      <c r="AB85" s="6603"/>
      <c r="AC85" s="6603"/>
      <c r="AD85" s="6603"/>
      <c r="AE85" s="6603"/>
      <c r="AF85" s="6604"/>
      <c r="AG85" s="6602" t="str">
        <f>INDEX(PT_DIFFERENTIATION_TER,MATCH(B85,PT_DIFFERENTIATION_TER_ID,0))</f>
        <v>Территория 2</v>
      </c>
      <c r="AH85" s="6603"/>
      <c r="AI85" s="6603"/>
      <c r="AJ85" s="6603"/>
      <c r="AK85" s="6603"/>
      <c r="AL85" s="6603"/>
      <c r="AM85" s="6603"/>
      <c r="AN85" s="6603"/>
      <c r="AO85" s="6603"/>
      <c r="AP85" s="6603"/>
      <c r="AQ85" s="6603"/>
      <c r="AR85" s="6602"/>
      <c r="AS85" s="6603"/>
      <c r="AT85" s="6603"/>
      <c r="AU85" s="6603"/>
      <c r="AV85" s="6603"/>
      <c r="AW85" s="6603"/>
      <c r="AX85" s="6603"/>
      <c r="AY85" s="6603"/>
      <c r="AZ85" s="6603"/>
      <c r="BA85" s="6603"/>
      <c r="BB85" s="6604"/>
      <c r="BC85" s="6602"/>
      <c r="BD85" s="6603"/>
      <c r="BE85" s="6603"/>
      <c r="BF85" s="6603"/>
      <c r="BG85" s="6603"/>
      <c r="BH85" s="6603"/>
      <c r="BI85" s="6603"/>
      <c r="BJ85" s="6603"/>
      <c r="BK85" s="6603"/>
      <c r="BL85" s="6603"/>
      <c r="BM85" s="6604"/>
      <c r="BN85" s="6602"/>
      <c r="BO85" s="6603"/>
      <c r="BP85" s="6603"/>
      <c r="BQ85" s="6603"/>
      <c r="BR85" s="6603"/>
      <c r="BS85" s="6603"/>
      <c r="BT85" s="6603"/>
      <c r="BU85" s="6603"/>
      <c r="BV85" s="6603"/>
      <c r="BW85" s="6603"/>
      <c r="BX85" s="6604"/>
      <c r="BY85" s="6602"/>
      <c r="BZ85" s="6603"/>
      <c r="CA85" s="6603"/>
      <c r="CB85" s="6603"/>
      <c r="CC85" s="6603"/>
      <c r="CD85" s="6603"/>
      <c r="CE85" s="6603"/>
      <c r="CF85" s="6603"/>
      <c r="CG85" s="6603"/>
      <c r="CH85" s="6603"/>
      <c r="CI85" s="6604"/>
      <c r="CJ85" s="6602"/>
      <c r="CK85" s="6603"/>
      <c r="CL85" s="6603"/>
      <c r="CM85" s="6603"/>
      <c r="CN85" s="6603"/>
      <c r="CO85" s="6603"/>
      <c r="CP85" s="6603"/>
      <c r="CQ85" s="6603"/>
      <c r="CR85" s="6603"/>
      <c r="CS85" s="6603"/>
      <c r="CT85" s="6604"/>
      <c r="CU85" s="6602"/>
      <c r="CV85" s="6603"/>
      <c r="CW85" s="6603"/>
      <c r="CX85" s="6603"/>
      <c r="CY85" s="6603"/>
      <c r="CZ85" s="6603"/>
      <c r="DA85" s="6603"/>
      <c r="DB85" s="6603"/>
      <c r="DC85" s="6603"/>
      <c r="DD85" s="6603"/>
      <c r="DE85" s="6604"/>
      <c r="DF85" s="6602"/>
      <c r="DG85" s="6603"/>
      <c r="DH85" s="6603"/>
      <c r="DI85" s="6603"/>
      <c r="DJ85" s="6603"/>
      <c r="DK85" s="6603"/>
      <c r="DL85" s="6603"/>
      <c r="DM85" s="6603"/>
      <c r="DN85" s="6603"/>
      <c r="DO85" s="6603"/>
      <c r="DP85" s="6604"/>
      <c r="DQ85" s="6602"/>
      <c r="DR85" s="6603"/>
      <c r="DS85" s="6603"/>
      <c r="DT85" s="6603"/>
      <c r="DU85" s="6603"/>
      <c r="DV85" s="6603"/>
      <c r="DW85" s="6603"/>
      <c r="DX85" s="6603"/>
      <c r="DY85" s="6603"/>
      <c r="DZ85" s="6603"/>
      <c r="EA85" s="6604"/>
      <c r="EB85" s="18872"/>
      <c r="EC85" s="18873"/>
      <c r="ED85" s="18873"/>
      <c r="EE85" s="18873"/>
      <c r="EF85" s="18873"/>
      <c r="EG85" s="18873"/>
      <c r="EH85" s="18873"/>
      <c r="EI85" s="18873"/>
      <c r="EJ85" s="18873"/>
      <c r="EK85" s="18873"/>
      <c r="EL85" s="18874"/>
      <c r="EM85" s="18872"/>
      <c r="EN85" s="18873"/>
      <c r="EO85" s="18873"/>
      <c r="EP85" s="18873"/>
      <c r="EQ85" s="18873"/>
      <c r="ER85" s="18873"/>
      <c r="ES85" s="18873"/>
      <c r="ET85" s="18873"/>
      <c r="EU85" s="18873"/>
      <c r="EV85" s="18873"/>
      <c r="EW85" s="18874"/>
      <c r="EX85" s="6604"/>
      <c r="EY85" s="7193" t="s">
        <v>439</v>
      </c>
      <c r="EZ85" s="6889"/>
      <c r="FA85" s="7194"/>
      <c r="FB85" s="7194" t="str">
        <f>IF(T85="","",T85)</f>
        <v>Территория действия тарифа</v>
      </c>
      <c r="FC85" s="7194"/>
      <c r="FD85" s="7194"/>
    </row>
    <row s="34640" customFormat="1" customHeight="1" ht="23.25">
      <c r="A86" s="7182"/>
      <c r="B86" s="7182"/>
      <c r="C86" s="7182" t="s">
        <v>278</v>
      </c>
      <c r="D86" s="7182"/>
      <c r="E86" s="7183"/>
      <c r="F86" s="7183">
        <v>1</v>
      </c>
      <c r="G86" s="7184">
        <v>1</v>
      </c>
      <c r="H86" s="7182"/>
      <c r="I86" s="7182"/>
      <c r="J86" s="7182"/>
      <c r="K86" s="7182"/>
      <c r="L86" s="7185"/>
      <c r="M86" s="7186"/>
      <c r="N86" s="7186"/>
      <c r="O86" s="7186"/>
      <c r="P86" s="7196"/>
      <c r="Q86" s="7188"/>
      <c r="R86" s="7189"/>
      <c r="S86" s="7190" t="str">
        <f>INDEX(PT_DIFFERENTIATION_NUM_CS,MATCH(C86,PT_DIFFERENTIATION_CS_ID,0))</f>
        <v>2.2.1</v>
      </c>
      <c r="T86" s="7197" t="s">
        <v>569</v>
      </c>
      <c r="U86" s="7192"/>
      <c r="V86" s="6602"/>
      <c r="W86" s="6603"/>
      <c r="X86" s="6603"/>
      <c r="Y86" s="6603"/>
      <c r="Z86" s="6603"/>
      <c r="AA86" s="6603"/>
      <c r="AB86" s="6603"/>
      <c r="AC86" s="6603"/>
      <c r="AD86" s="6603"/>
      <c r="AE86" s="6603"/>
      <c r="AF86" s="6604"/>
      <c r="AG86" s="6602" t="str">
        <f>INDEX(PT_DIFFERENTIATION_CS,MATCH(C86,PT_DIFFERENTIATION_CS_ID,0))</f>
        <v>без дифференциации</v>
      </c>
      <c r="AH86" s="6603"/>
      <c r="AI86" s="6603"/>
      <c r="AJ86" s="6603"/>
      <c r="AK86" s="6603"/>
      <c r="AL86" s="6603"/>
      <c r="AM86" s="6603"/>
      <c r="AN86" s="6603"/>
      <c r="AO86" s="6603"/>
      <c r="AP86" s="6603"/>
      <c r="AQ86" s="6603"/>
      <c r="AR86" s="6602"/>
      <c r="AS86" s="6603"/>
      <c r="AT86" s="6603"/>
      <c r="AU86" s="6603"/>
      <c r="AV86" s="6603"/>
      <c r="AW86" s="6603"/>
      <c r="AX86" s="6603"/>
      <c r="AY86" s="6603"/>
      <c r="AZ86" s="6603"/>
      <c r="BA86" s="6603"/>
      <c r="BB86" s="6604"/>
      <c r="BC86" s="6602"/>
      <c r="BD86" s="6603"/>
      <c r="BE86" s="6603"/>
      <c r="BF86" s="6603"/>
      <c r="BG86" s="6603"/>
      <c r="BH86" s="6603"/>
      <c r="BI86" s="6603"/>
      <c r="BJ86" s="6603"/>
      <c r="BK86" s="6603"/>
      <c r="BL86" s="6603"/>
      <c r="BM86" s="6604"/>
      <c r="BN86" s="6602"/>
      <c r="BO86" s="6603"/>
      <c r="BP86" s="6603"/>
      <c r="BQ86" s="6603"/>
      <c r="BR86" s="6603"/>
      <c r="BS86" s="6603"/>
      <c r="BT86" s="6603"/>
      <c r="BU86" s="6603"/>
      <c r="BV86" s="6603"/>
      <c r="BW86" s="6603"/>
      <c r="BX86" s="6604"/>
      <c r="BY86" s="6602"/>
      <c r="BZ86" s="6603"/>
      <c r="CA86" s="6603"/>
      <c r="CB86" s="6603"/>
      <c r="CC86" s="6603"/>
      <c r="CD86" s="6603"/>
      <c r="CE86" s="6603"/>
      <c r="CF86" s="6603"/>
      <c r="CG86" s="6603"/>
      <c r="CH86" s="6603"/>
      <c r="CI86" s="6604"/>
      <c r="CJ86" s="6602"/>
      <c r="CK86" s="6603"/>
      <c r="CL86" s="6603"/>
      <c r="CM86" s="6603"/>
      <c r="CN86" s="6603"/>
      <c r="CO86" s="6603"/>
      <c r="CP86" s="6603"/>
      <c r="CQ86" s="6603"/>
      <c r="CR86" s="6603"/>
      <c r="CS86" s="6603"/>
      <c r="CT86" s="6604"/>
      <c r="CU86" s="6602"/>
      <c r="CV86" s="6603"/>
      <c r="CW86" s="6603"/>
      <c r="CX86" s="6603"/>
      <c r="CY86" s="6603"/>
      <c r="CZ86" s="6603"/>
      <c r="DA86" s="6603"/>
      <c r="DB86" s="6603"/>
      <c r="DC86" s="6603"/>
      <c r="DD86" s="6603"/>
      <c r="DE86" s="6604"/>
      <c r="DF86" s="6602"/>
      <c r="DG86" s="6603"/>
      <c r="DH86" s="6603"/>
      <c r="DI86" s="6603"/>
      <c r="DJ86" s="6603"/>
      <c r="DK86" s="6603"/>
      <c r="DL86" s="6603"/>
      <c r="DM86" s="6603"/>
      <c r="DN86" s="6603"/>
      <c r="DO86" s="6603"/>
      <c r="DP86" s="6604"/>
      <c r="DQ86" s="6602"/>
      <c r="DR86" s="6603"/>
      <c r="DS86" s="6603"/>
      <c r="DT86" s="6603"/>
      <c r="DU86" s="6603"/>
      <c r="DV86" s="6603"/>
      <c r="DW86" s="6603"/>
      <c r="DX86" s="6603"/>
      <c r="DY86" s="6603"/>
      <c r="DZ86" s="6603"/>
      <c r="EA86" s="6604"/>
      <c r="EB86" s="18872"/>
      <c r="EC86" s="18873"/>
      <c r="ED86" s="18873"/>
      <c r="EE86" s="18873"/>
      <c r="EF86" s="18873"/>
      <c r="EG86" s="18873"/>
      <c r="EH86" s="18873"/>
      <c r="EI86" s="18873"/>
      <c r="EJ86" s="18873"/>
      <c r="EK86" s="18873"/>
      <c r="EL86" s="18874"/>
      <c r="EM86" s="18872"/>
      <c r="EN86" s="18873"/>
      <c r="EO86" s="18873"/>
      <c r="EP86" s="18873"/>
      <c r="EQ86" s="18873"/>
      <c r="ER86" s="18873"/>
      <c r="ES86" s="18873"/>
      <c r="ET86" s="18873"/>
      <c r="EU86" s="18873"/>
      <c r="EV86" s="18873"/>
      <c r="EW86" s="18874"/>
      <c r="EX86" s="6604"/>
      <c r="EY86" s="7193" t="s">
        <v>570</v>
      </c>
      <c r="EZ86" s="6889"/>
      <c r="FA86" s="7194"/>
      <c r="FB86" s="7194" t="str">
        <f>IF(T86="","",T86)</f>
        <v>Наименование централизованной системы горячего водоснабжения</v>
      </c>
      <c r="FC86" s="7194"/>
      <c r="FD86" s="7194"/>
    </row>
    <row s="34641" customFormat="1" customHeight="1" ht="23.25">
      <c r="A87" s="7182"/>
      <c r="B87" s="7182"/>
      <c r="C87" s="7182"/>
      <c r="D87" s="7182"/>
      <c r="E87" s="7183"/>
      <c r="F87" s="7183">
        <v>1</v>
      </c>
      <c r="G87" s="7183"/>
      <c r="H87" s="7183"/>
      <c r="I87" s="7199" t="str">
        <f>S86&amp;".1"</f>
        <v>2.2.1.1</v>
      </c>
      <c r="J87" s="7182"/>
      <c r="K87" s="7182"/>
      <c r="L87" s="7185"/>
      <c r="M87" s="7200"/>
      <c r="N87" s="7200"/>
      <c r="O87" s="7200"/>
      <c r="P87" s="7201">
        <v>1</v>
      </c>
      <c r="Q87" s="7201"/>
      <c r="R87" s="7202"/>
      <c r="S87" s="7190" t="str">
        <f>$I87</f>
        <v>2.2.1.1</v>
      </c>
      <c r="T87" s="7203" t="s">
        <v>522</v>
      </c>
      <c r="U87" s="7192"/>
      <c r="V87" s="6605"/>
      <c r="W87" s="6606"/>
      <c r="X87" s="6606"/>
      <c r="Y87" s="6606"/>
      <c r="Z87" s="6606"/>
      <c r="AA87" s="6606"/>
      <c r="AB87" s="6606"/>
      <c r="AC87" s="6606"/>
      <c r="AD87" s="6606"/>
      <c r="AE87" s="6606"/>
      <c r="AF87" s="6607"/>
      <c r="AG87" s="7204"/>
      <c r="AH87" s="7205"/>
      <c r="AI87" s="7205"/>
      <c r="AJ87" s="7205"/>
      <c r="AK87" s="7205"/>
      <c r="AL87" s="7205"/>
      <c r="AM87" s="7205"/>
      <c r="AN87" s="7205"/>
      <c r="AO87" s="7205"/>
      <c r="AP87" s="7205"/>
      <c r="AQ87" s="7205"/>
      <c r="AR87" s="6605"/>
      <c r="AS87" s="6606"/>
      <c r="AT87" s="6606"/>
      <c r="AU87" s="6606"/>
      <c r="AV87" s="6606"/>
      <c r="AW87" s="6606"/>
      <c r="AX87" s="6606"/>
      <c r="AY87" s="6606"/>
      <c r="AZ87" s="6606"/>
      <c r="BA87" s="6606"/>
      <c r="BB87" s="6607"/>
      <c r="BC87" s="6605"/>
      <c r="BD87" s="6606"/>
      <c r="BE87" s="6606"/>
      <c r="BF87" s="6606"/>
      <c r="BG87" s="6606"/>
      <c r="BH87" s="6606"/>
      <c r="BI87" s="6606"/>
      <c r="BJ87" s="6606"/>
      <c r="BK87" s="6606"/>
      <c r="BL87" s="6606"/>
      <c r="BM87" s="6607"/>
      <c r="BN87" s="6605"/>
      <c r="BO87" s="6606"/>
      <c r="BP87" s="6606"/>
      <c r="BQ87" s="6606"/>
      <c r="BR87" s="6606"/>
      <c r="BS87" s="6606"/>
      <c r="BT87" s="6606"/>
      <c r="BU87" s="6606"/>
      <c r="BV87" s="6606"/>
      <c r="BW87" s="6606"/>
      <c r="BX87" s="6607"/>
      <c r="BY87" s="6605"/>
      <c r="BZ87" s="6606"/>
      <c r="CA87" s="6606"/>
      <c r="CB87" s="6606"/>
      <c r="CC87" s="6606"/>
      <c r="CD87" s="6606"/>
      <c r="CE87" s="6606"/>
      <c r="CF87" s="6606"/>
      <c r="CG87" s="6606"/>
      <c r="CH87" s="6606"/>
      <c r="CI87" s="6607"/>
      <c r="CJ87" s="6605"/>
      <c r="CK87" s="6606"/>
      <c r="CL87" s="6606"/>
      <c r="CM87" s="6606"/>
      <c r="CN87" s="6606"/>
      <c r="CO87" s="6606"/>
      <c r="CP87" s="6606"/>
      <c r="CQ87" s="6606"/>
      <c r="CR87" s="6606"/>
      <c r="CS87" s="6606"/>
      <c r="CT87" s="6607"/>
      <c r="CU87" s="6605"/>
      <c r="CV87" s="6606"/>
      <c r="CW87" s="6606"/>
      <c r="CX87" s="6606"/>
      <c r="CY87" s="6606"/>
      <c r="CZ87" s="6606"/>
      <c r="DA87" s="6606"/>
      <c r="DB87" s="6606"/>
      <c r="DC87" s="6606"/>
      <c r="DD87" s="6606"/>
      <c r="DE87" s="6607"/>
      <c r="DF87" s="6605"/>
      <c r="DG87" s="6606"/>
      <c r="DH87" s="6606"/>
      <c r="DI87" s="6606"/>
      <c r="DJ87" s="6606"/>
      <c r="DK87" s="6606"/>
      <c r="DL87" s="6606"/>
      <c r="DM87" s="6606"/>
      <c r="DN87" s="6606"/>
      <c r="DO87" s="6606"/>
      <c r="DP87" s="6607"/>
      <c r="DQ87" s="6605"/>
      <c r="DR87" s="6606"/>
      <c r="DS87" s="6606"/>
      <c r="DT87" s="6606"/>
      <c r="DU87" s="6606"/>
      <c r="DV87" s="6606"/>
      <c r="DW87" s="6606"/>
      <c r="DX87" s="6606"/>
      <c r="DY87" s="6606"/>
      <c r="DZ87" s="6606"/>
      <c r="EA87" s="6607"/>
      <c r="EB87" s="18878"/>
      <c r="EC87" s="18879"/>
      <c r="ED87" s="18879"/>
      <c r="EE87" s="18879"/>
      <c r="EF87" s="18879"/>
      <c r="EG87" s="18879"/>
      <c r="EH87" s="18879"/>
      <c r="EI87" s="18879"/>
      <c r="EJ87" s="18879"/>
      <c r="EK87" s="18879"/>
      <c r="EL87" s="18880"/>
      <c r="EM87" s="18878"/>
      <c r="EN87" s="18879"/>
      <c r="EO87" s="18879"/>
      <c r="EP87" s="18879"/>
      <c r="EQ87" s="18879"/>
      <c r="ER87" s="18879"/>
      <c r="ES87" s="18879"/>
      <c r="ET87" s="18879"/>
      <c r="EU87" s="18879"/>
      <c r="EV87" s="18879"/>
      <c r="EW87" s="18880"/>
      <c r="EX87" s="7206"/>
      <c r="EY87" s="7193" t="s">
        <v>523</v>
      </c>
      <c r="EZ87" s="6889"/>
      <c r="FA87" s="7194"/>
      <c r="FB87" s="7194" t="str">
        <f>IF(T87="","",T87)</f>
        <v>Наименование признака дифференциации</v>
      </c>
      <c r="FC87" s="7194"/>
      <c r="FD87" s="7194"/>
    </row>
    <row s="34642" customFormat="1" customHeight="1" ht="23.25">
      <c r="A88" s="7182"/>
      <c r="B88" s="7182"/>
      <c r="C88" s="7182"/>
      <c r="D88" s="7182"/>
      <c r="E88" s="7183"/>
      <c r="F88" s="7183">
        <v>1</v>
      </c>
      <c r="G88" s="7183"/>
      <c r="H88" s="7183"/>
      <c r="I88" s="7208"/>
      <c r="J88" s="7199" t="str">
        <f>I87&amp;".1"</f>
        <v>2.2.1.1.1</v>
      </c>
      <c r="K88" s="7182"/>
      <c r="L88" s="7185" t="s">
        <v>447</v>
      </c>
      <c r="M88" s="7200"/>
      <c r="N88" s="7200"/>
      <c r="O88" s="7200"/>
      <c r="P88" s="7201"/>
      <c r="Q88" s="7201">
        <v>1</v>
      </c>
      <c r="R88" s="7209"/>
      <c r="S88" s="7190" t="str">
        <f>$J88</f>
        <v>2.2.1.1.1</v>
      </c>
      <c r="T88" s="7210" t="s">
        <v>448</v>
      </c>
      <c r="U88" s="7192"/>
      <c r="V88" s="6608"/>
      <c r="W88" s="6609"/>
      <c r="X88" s="6609"/>
      <c r="Y88" s="6609"/>
      <c r="Z88" s="6609"/>
      <c r="AA88" s="6609"/>
      <c r="AB88" s="6609"/>
      <c r="AC88" s="6609"/>
      <c r="AD88" s="6609"/>
      <c r="AE88" s="6609"/>
      <c r="AF88" s="6610"/>
      <c r="AG88" s="6608" t="s">
        <v>583</v>
      </c>
      <c r="AH88" s="6609"/>
      <c r="AI88" s="6609"/>
      <c r="AJ88" s="6609"/>
      <c r="AK88" s="6609"/>
      <c r="AL88" s="6609"/>
      <c r="AM88" s="6609"/>
      <c r="AN88" s="6609"/>
      <c r="AO88" s="6609"/>
      <c r="AP88" s="6609"/>
      <c r="AQ88" s="6609"/>
      <c r="AR88" s="6608"/>
      <c r="AS88" s="6609"/>
      <c r="AT88" s="6609"/>
      <c r="AU88" s="6609"/>
      <c r="AV88" s="6609"/>
      <c r="AW88" s="6609"/>
      <c r="AX88" s="6609"/>
      <c r="AY88" s="6609"/>
      <c r="AZ88" s="6609"/>
      <c r="BA88" s="6609"/>
      <c r="BB88" s="6610"/>
      <c r="BC88" s="6608"/>
      <c r="BD88" s="6609"/>
      <c r="BE88" s="6609"/>
      <c r="BF88" s="6609"/>
      <c r="BG88" s="6609"/>
      <c r="BH88" s="6609"/>
      <c r="BI88" s="6609"/>
      <c r="BJ88" s="6609"/>
      <c r="BK88" s="6609"/>
      <c r="BL88" s="6609"/>
      <c r="BM88" s="6610"/>
      <c r="BN88" s="6608"/>
      <c r="BO88" s="6609"/>
      <c r="BP88" s="6609"/>
      <c r="BQ88" s="6609"/>
      <c r="BR88" s="6609"/>
      <c r="BS88" s="6609"/>
      <c r="BT88" s="6609"/>
      <c r="BU88" s="6609"/>
      <c r="BV88" s="6609"/>
      <c r="BW88" s="6609"/>
      <c r="BX88" s="6610"/>
      <c r="BY88" s="6608"/>
      <c r="BZ88" s="6609"/>
      <c r="CA88" s="6609"/>
      <c r="CB88" s="6609"/>
      <c r="CC88" s="6609"/>
      <c r="CD88" s="6609"/>
      <c r="CE88" s="6609"/>
      <c r="CF88" s="6609"/>
      <c r="CG88" s="6609"/>
      <c r="CH88" s="6609"/>
      <c r="CI88" s="6610"/>
      <c r="CJ88" s="6608"/>
      <c r="CK88" s="6609"/>
      <c r="CL88" s="6609"/>
      <c r="CM88" s="6609"/>
      <c r="CN88" s="6609"/>
      <c r="CO88" s="6609"/>
      <c r="CP88" s="6609"/>
      <c r="CQ88" s="6609"/>
      <c r="CR88" s="6609"/>
      <c r="CS88" s="6609"/>
      <c r="CT88" s="6610"/>
      <c r="CU88" s="6608"/>
      <c r="CV88" s="6609"/>
      <c r="CW88" s="6609"/>
      <c r="CX88" s="6609"/>
      <c r="CY88" s="6609"/>
      <c r="CZ88" s="6609"/>
      <c r="DA88" s="6609"/>
      <c r="DB88" s="6609"/>
      <c r="DC88" s="6609"/>
      <c r="DD88" s="6609"/>
      <c r="DE88" s="6610"/>
      <c r="DF88" s="6608"/>
      <c r="DG88" s="6609"/>
      <c r="DH88" s="6609"/>
      <c r="DI88" s="6609"/>
      <c r="DJ88" s="6609"/>
      <c r="DK88" s="6609"/>
      <c r="DL88" s="6609"/>
      <c r="DM88" s="6609"/>
      <c r="DN88" s="6609"/>
      <c r="DO88" s="6609"/>
      <c r="DP88" s="6610"/>
      <c r="DQ88" s="6608"/>
      <c r="DR88" s="6609"/>
      <c r="DS88" s="6609"/>
      <c r="DT88" s="6609"/>
      <c r="DU88" s="6609"/>
      <c r="DV88" s="6609"/>
      <c r="DW88" s="6609"/>
      <c r="DX88" s="6609"/>
      <c r="DY88" s="6609"/>
      <c r="DZ88" s="6609"/>
      <c r="EA88" s="6610"/>
      <c r="EB88" s="18884"/>
      <c r="EC88" s="18885"/>
      <c r="ED88" s="18885"/>
      <c r="EE88" s="18885"/>
      <c r="EF88" s="18885"/>
      <c r="EG88" s="18885"/>
      <c r="EH88" s="18885"/>
      <c r="EI88" s="18885"/>
      <c r="EJ88" s="18885"/>
      <c r="EK88" s="18885"/>
      <c r="EL88" s="18886"/>
      <c r="EM88" s="18884"/>
      <c r="EN88" s="18885"/>
      <c r="EO88" s="18885"/>
      <c r="EP88" s="18885"/>
      <c r="EQ88" s="18885"/>
      <c r="ER88" s="18885"/>
      <c r="ES88" s="18885"/>
      <c r="ET88" s="18885"/>
      <c r="EU88" s="18885"/>
      <c r="EV88" s="18885"/>
      <c r="EW88" s="18886"/>
      <c r="EX88" s="6610"/>
      <c r="EY88" s="7211" t="s">
        <v>524</v>
      </c>
      <c r="EZ88" s="6889"/>
      <c r="FA88" s="7194"/>
      <c r="FB88" s="7194" t="str">
        <f>IF(T88="","",T88)</f>
        <v>Группа потребителей</v>
      </c>
      <c r="FC88" s="7194"/>
      <c r="FD88" s="7194"/>
    </row>
    <row s="34643" customFormat="1" customHeight="1" ht="23.25">
      <c r="A89" s="7182"/>
      <c r="B89" s="7182"/>
      <c r="C89" s="7182"/>
      <c r="D89" s="7182"/>
      <c r="E89" s="7183"/>
      <c r="F89" s="7183">
        <v>1</v>
      </c>
      <c r="G89" s="7183"/>
      <c r="H89" s="7183"/>
      <c r="I89" s="7208"/>
      <c r="J89" s="7208"/>
      <c r="K89" s="7199" t="str">
        <f>J88&amp;".1"</f>
        <v>2.2.1.1.1.1</v>
      </c>
      <c r="L89" s="7185"/>
      <c r="M89" s="7200"/>
      <c r="N89" s="7200"/>
      <c r="O89" s="7200"/>
      <c r="P89" s="7201"/>
      <c r="Q89" s="7201"/>
      <c r="R89" s="7209">
        <v>1</v>
      </c>
      <c r="S89" s="7190" t="str">
        <f>$K89</f>
        <v>2.2.1.1.1.1</v>
      </c>
      <c r="T89" s="7213"/>
      <c r="U89" s="7192"/>
      <c r="V89" s="6611"/>
      <c r="W89" s="6611"/>
      <c r="X89" s="6611"/>
      <c r="Y89" s="6611"/>
      <c r="Z89" s="6611"/>
      <c r="AA89" s="6611"/>
      <c r="AB89" s="6611"/>
      <c r="AC89" s="6612"/>
      <c r="AD89" s="6613" t="s">
        <v>66</v>
      </c>
      <c r="AE89" s="6612"/>
      <c r="AF89" s="6613" t="s">
        <v>66</v>
      </c>
      <c r="AG89" s="6611">
        <v>46.67</v>
      </c>
      <c r="AH89" s="6611"/>
      <c r="AI89" s="6611"/>
      <c r="AJ89" s="6611"/>
      <c r="AK89" s="6611">
        <v>2992.94</v>
      </c>
      <c r="AL89" s="6611"/>
      <c r="AM89" s="6611"/>
      <c r="AN89" s="18891">
        <v>44896</v>
      </c>
      <c r="AO89" s="6613" t="s">
        <v>66</v>
      </c>
      <c r="AP89" s="19294">
        <v>45291</v>
      </c>
      <c r="AQ89" s="6613" t="s">
        <v>66</v>
      </c>
      <c r="AR89" s="6611">
        <v>46.67</v>
      </c>
      <c r="AS89" s="6611"/>
      <c r="AT89" s="6611"/>
      <c r="AU89" s="6611"/>
      <c r="AV89" s="6611">
        <v>2992.94</v>
      </c>
      <c r="AW89" s="6611"/>
      <c r="AX89" s="6611"/>
      <c r="AY89" s="18891">
        <v>45292</v>
      </c>
      <c r="AZ89" s="6613" t="s">
        <v>66</v>
      </c>
      <c r="BA89" s="18891">
        <v>45473</v>
      </c>
      <c r="BB89" s="6613" t="s">
        <v>66</v>
      </c>
      <c r="BC89" s="6611">
        <v>51.29</v>
      </c>
      <c r="BD89" s="6611"/>
      <c r="BE89" s="6611"/>
      <c r="BF89" s="6611"/>
      <c r="BG89" s="6611">
        <v>3361.07</v>
      </c>
      <c r="BH89" s="6611"/>
      <c r="BI89" s="6611"/>
      <c r="BJ89" s="18891">
        <v>45474</v>
      </c>
      <c r="BK89" s="6613" t="s">
        <v>66</v>
      </c>
      <c r="BL89" s="18891">
        <v>45657</v>
      </c>
      <c r="BM89" s="6613" t="s">
        <v>66</v>
      </c>
      <c r="BN89" s="6611">
        <v>47.62</v>
      </c>
      <c r="BO89" s="6611"/>
      <c r="BP89" s="6611"/>
      <c r="BQ89" s="6611"/>
      <c r="BR89" s="6611">
        <v>3133.61</v>
      </c>
      <c r="BS89" s="6611"/>
      <c r="BT89" s="6611"/>
      <c r="BU89" s="18891">
        <v>45658</v>
      </c>
      <c r="BV89" s="6613" t="s">
        <v>66</v>
      </c>
      <c r="BW89" s="18891">
        <v>45838</v>
      </c>
      <c r="BX89" s="6613" t="s">
        <v>66</v>
      </c>
      <c r="BY89" s="6611">
        <v>49.52</v>
      </c>
      <c r="BZ89" s="6611"/>
      <c r="CA89" s="6611"/>
      <c r="CB89" s="6611"/>
      <c r="CC89" s="6611">
        <v>3258.95</v>
      </c>
      <c r="CD89" s="6611"/>
      <c r="CE89" s="6611"/>
      <c r="CF89" s="18891">
        <v>45839</v>
      </c>
      <c r="CG89" s="6613" t="s">
        <v>66</v>
      </c>
      <c r="CH89" s="18891">
        <v>46022</v>
      </c>
      <c r="CI89" s="6613" t="s">
        <v>66</v>
      </c>
      <c r="CJ89" s="6611">
        <v>49.52</v>
      </c>
      <c r="CK89" s="6611"/>
      <c r="CL89" s="6611"/>
      <c r="CM89" s="6611"/>
      <c r="CN89" s="6611">
        <v>3258.95</v>
      </c>
      <c r="CO89" s="6611"/>
      <c r="CP89" s="6611"/>
      <c r="CQ89" s="18891">
        <v>46023</v>
      </c>
      <c r="CR89" s="6613" t="s">
        <v>66</v>
      </c>
      <c r="CS89" s="18891">
        <v>46203</v>
      </c>
      <c r="CT89" s="6613" t="s">
        <v>66</v>
      </c>
      <c r="CU89" s="6611">
        <v>51.85</v>
      </c>
      <c r="CV89" s="6611"/>
      <c r="CW89" s="6611"/>
      <c r="CX89" s="6611"/>
      <c r="CY89" s="6611">
        <v>3389.31</v>
      </c>
      <c r="CZ89" s="6611"/>
      <c r="DA89" s="6611"/>
      <c r="DB89" s="18891">
        <v>46204</v>
      </c>
      <c r="DC89" s="6613" t="s">
        <v>66</v>
      </c>
      <c r="DD89" s="18891">
        <v>46387</v>
      </c>
      <c r="DE89" s="6613" t="s">
        <v>66</v>
      </c>
      <c r="DF89" s="6611">
        <v>51.85</v>
      </c>
      <c r="DG89" s="6611"/>
      <c r="DH89" s="6611"/>
      <c r="DI89" s="6611"/>
      <c r="DJ89" s="6611">
        <v>3389.31</v>
      </c>
      <c r="DK89" s="6611"/>
      <c r="DL89" s="6611"/>
      <c r="DM89" s="18891">
        <v>46388</v>
      </c>
      <c r="DN89" s="6613" t="s">
        <v>66</v>
      </c>
      <c r="DO89" s="18891">
        <v>46568</v>
      </c>
      <c r="DP89" s="6613" t="s">
        <v>66</v>
      </c>
      <c r="DQ89" s="6611">
        <v>54.29</v>
      </c>
      <c r="DR89" s="6611"/>
      <c r="DS89" s="6611"/>
      <c r="DT89" s="6611"/>
      <c r="DU89" s="6611">
        <v>3524.88</v>
      </c>
      <c r="DV89" s="6611"/>
      <c r="DW89" s="6611"/>
      <c r="DX89" s="18891">
        <v>46569</v>
      </c>
      <c r="DY89" s="6613" t="s">
        <v>66</v>
      </c>
      <c r="DZ89" s="18891">
        <v>46752</v>
      </c>
      <c r="EA89" s="6613" t="s">
        <v>66</v>
      </c>
      <c r="EB89" s="18890">
        <v>54.29</v>
      </c>
      <c r="EC89" s="18890"/>
      <c r="ED89" s="18890"/>
      <c r="EE89" s="18890"/>
      <c r="EF89" s="18890">
        <v>3524.88</v>
      </c>
      <c r="EG89" s="18890"/>
      <c r="EH89" s="18890"/>
      <c r="EI89" s="18891">
        <v>46753</v>
      </c>
      <c r="EJ89" s="18892" t="s">
        <v>66</v>
      </c>
      <c r="EK89" s="18891">
        <v>46934</v>
      </c>
      <c r="EL89" s="18892" t="s">
        <v>66</v>
      </c>
      <c r="EM89" s="18890">
        <v>56.84</v>
      </c>
      <c r="EN89" s="18890"/>
      <c r="EO89" s="18890"/>
      <c r="EP89" s="18890"/>
      <c r="EQ89" s="18890">
        <v>3665.88</v>
      </c>
      <c r="ER89" s="18890"/>
      <c r="ES89" s="18890"/>
      <c r="ET89" s="18891">
        <v>46935</v>
      </c>
      <c r="EU89" s="18892" t="s">
        <v>66</v>
      </c>
      <c r="EV89" s="18891">
        <v>47118</v>
      </c>
      <c r="EW89" s="18892" t="s">
        <v>66</v>
      </c>
      <c r="EX89" s="7214"/>
      <c r="EY89" s="72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Z89" s="6889">
        <f>STRCHECKDATE(V90:EX90)</f>
      </c>
      <c r="FA89" s="7194"/>
      <c r="FB89" s="7194" t="str">
        <f>IF(T89="","",T89)</f>
        <v/>
      </c>
      <c r="FC89" s="7194"/>
      <c r="FD89" s="7194"/>
    </row>
    <row s="34644" customFormat="1" customHeight="1" ht="14.25">
      <c r="A90" s="7182"/>
      <c r="B90" s="7182"/>
      <c r="C90" s="7182"/>
      <c r="D90" s="7182"/>
      <c r="E90" s="7183"/>
      <c r="F90" s="7183">
        <v>1</v>
      </c>
      <c r="G90" s="7183"/>
      <c r="H90" s="7183"/>
      <c r="I90" s="7208"/>
      <c r="J90" s="7208"/>
      <c r="K90" s="7199"/>
      <c r="L90" s="7185"/>
      <c r="M90" s="7200"/>
      <c r="N90" s="7200"/>
      <c r="O90" s="7200"/>
      <c r="P90" s="7201"/>
      <c r="Q90" s="7201"/>
      <c r="R90" s="7209"/>
      <c r="S90" s="7217"/>
      <c r="T90" s="7192"/>
      <c r="U90" s="7192"/>
      <c r="V90" s="6614"/>
      <c r="W90" s="6614"/>
      <c r="X90" s="6614"/>
      <c r="Y90" s="6614"/>
      <c r="Z90" s="6614"/>
      <c r="AA90" s="6614"/>
      <c r="AB90" s="6614"/>
      <c r="AC90" s="6615"/>
      <c r="AD90" s="6613"/>
      <c r="AE90" s="6615"/>
      <c r="AF90" s="6613"/>
      <c r="AG90" s="6614"/>
      <c r="AH90" s="6614"/>
      <c r="AI90" s="6614"/>
      <c r="AJ90" s="6614"/>
      <c r="AK90" s="6614"/>
      <c r="AL90" s="6614"/>
      <c r="AM90" s="6614"/>
      <c r="AN90" s="6615"/>
      <c r="AO90" s="6613"/>
      <c r="AP90" s="6916"/>
      <c r="AQ90" s="6613"/>
      <c r="AR90" s="6614"/>
      <c r="AS90" s="6614"/>
      <c r="AT90" s="6614"/>
      <c r="AU90" s="6614"/>
      <c r="AV90" s="6614"/>
      <c r="AW90" s="6614"/>
      <c r="AX90" s="6614"/>
      <c r="AY90" s="6615"/>
      <c r="AZ90" s="6613"/>
      <c r="BA90" s="6615"/>
      <c r="BB90" s="6613"/>
      <c r="BC90" s="6614"/>
      <c r="BD90" s="6614"/>
      <c r="BE90" s="6614"/>
      <c r="BF90" s="6614"/>
      <c r="BG90" s="6614"/>
      <c r="BH90" s="6614"/>
      <c r="BI90" s="6614"/>
      <c r="BJ90" s="6615"/>
      <c r="BK90" s="6613"/>
      <c r="BL90" s="6615"/>
      <c r="BM90" s="6613"/>
      <c r="BN90" s="6614"/>
      <c r="BO90" s="6614"/>
      <c r="BP90" s="6614"/>
      <c r="BQ90" s="6614"/>
      <c r="BR90" s="6614"/>
      <c r="BS90" s="6614"/>
      <c r="BT90" s="6614"/>
      <c r="BU90" s="6615"/>
      <c r="BV90" s="6613"/>
      <c r="BW90" s="6615"/>
      <c r="BX90" s="6613"/>
      <c r="BY90" s="6614"/>
      <c r="BZ90" s="6614"/>
      <c r="CA90" s="6614"/>
      <c r="CB90" s="6614"/>
      <c r="CC90" s="6614"/>
      <c r="CD90" s="6614"/>
      <c r="CE90" s="6614"/>
      <c r="CF90" s="6615"/>
      <c r="CG90" s="6613"/>
      <c r="CH90" s="6615"/>
      <c r="CI90" s="6613"/>
      <c r="CJ90" s="6614"/>
      <c r="CK90" s="6614"/>
      <c r="CL90" s="6614"/>
      <c r="CM90" s="6614"/>
      <c r="CN90" s="6614"/>
      <c r="CO90" s="6614"/>
      <c r="CP90" s="6614"/>
      <c r="CQ90" s="6615"/>
      <c r="CR90" s="6613"/>
      <c r="CS90" s="6615"/>
      <c r="CT90" s="6613"/>
      <c r="CU90" s="6614"/>
      <c r="CV90" s="6614"/>
      <c r="CW90" s="6614"/>
      <c r="CX90" s="6614"/>
      <c r="CY90" s="6614"/>
      <c r="CZ90" s="6614"/>
      <c r="DA90" s="6614"/>
      <c r="DB90" s="6615"/>
      <c r="DC90" s="6613"/>
      <c r="DD90" s="6615"/>
      <c r="DE90" s="6613"/>
      <c r="DF90" s="6614"/>
      <c r="DG90" s="6614"/>
      <c r="DH90" s="6614"/>
      <c r="DI90" s="6614"/>
      <c r="DJ90" s="6614"/>
      <c r="DK90" s="6614"/>
      <c r="DL90" s="6614"/>
      <c r="DM90" s="6615"/>
      <c r="DN90" s="6613"/>
      <c r="DO90" s="6615"/>
      <c r="DP90" s="6613"/>
      <c r="DQ90" s="6614"/>
      <c r="DR90" s="6614"/>
      <c r="DS90" s="6614"/>
      <c r="DT90" s="6614"/>
      <c r="DU90" s="6614"/>
      <c r="DV90" s="6614"/>
      <c r="DW90" s="6614"/>
      <c r="DX90" s="6615"/>
      <c r="DY90" s="6613"/>
      <c r="DZ90" s="6615"/>
      <c r="EA90" s="6613"/>
      <c r="EB90" s="18895"/>
      <c r="EC90" s="18895"/>
      <c r="ED90" s="18895"/>
      <c r="EE90" s="18895"/>
      <c r="EF90" s="18895"/>
      <c r="EG90" s="18895"/>
      <c r="EH90" s="18895"/>
      <c r="EI90" s="18896"/>
      <c r="EJ90" s="18892"/>
      <c r="EK90" s="18896"/>
      <c r="EL90" s="18892"/>
      <c r="EM90" s="18895"/>
      <c r="EN90" s="18895"/>
      <c r="EO90" s="18895"/>
      <c r="EP90" s="18895"/>
      <c r="EQ90" s="18895"/>
      <c r="ER90" s="18895"/>
      <c r="ES90" s="18895"/>
      <c r="ET90" s="18896"/>
      <c r="EU90" s="18892"/>
      <c r="EV90" s="18896"/>
      <c r="EW90" s="18892"/>
      <c r="EX90" s="7218"/>
      <c r="EY90" s="7215"/>
      <c r="EZ90" s="6889"/>
      <c r="FA90" s="7194"/>
      <c r="FB90" s="7194" t="str">
        <f>IF(T90="","",T90)</f>
        <v/>
      </c>
      <c r="FC90" s="7194"/>
      <c r="FD90" s="7194"/>
    </row>
    <row s="34645" customFormat="1" customHeight="1" ht="21">
      <c r="A91" s="7182"/>
      <c r="B91" s="7182"/>
      <c r="C91" s="7182"/>
      <c r="D91" s="7182"/>
      <c r="E91" s="7183"/>
      <c r="F91" s="7183">
        <v>1</v>
      </c>
      <c r="G91" s="7183"/>
      <c r="H91" s="7183"/>
      <c r="I91" s="7208"/>
      <c r="J91" s="7199"/>
      <c r="K91" s="7182"/>
      <c r="L91" s="7185"/>
      <c r="M91" s="7200"/>
      <c r="N91" s="7200"/>
      <c r="O91" s="7200"/>
      <c r="P91" s="7201"/>
      <c r="Q91" s="7201"/>
      <c r="R91" s="7202"/>
      <c r="S91" s="8295"/>
      <c r="T91" s="8296" t="s">
        <v>525</v>
      </c>
      <c r="U91" s="8297"/>
      <c r="V91" s="8298"/>
      <c r="W91" s="8299"/>
      <c r="X91" s="8300"/>
      <c r="Y91" s="8301"/>
      <c r="Z91" s="8302"/>
      <c r="AA91" s="8303"/>
      <c r="AB91" s="8304"/>
      <c r="AC91" s="8305"/>
      <c r="AD91" s="8306"/>
      <c r="AE91" s="8307"/>
      <c r="AF91" s="8308"/>
      <c r="AG91" s="8309"/>
      <c r="AH91" s="8310"/>
      <c r="AI91" s="8311"/>
      <c r="AJ91" s="8312"/>
      <c r="AK91" s="8313"/>
      <c r="AL91" s="8314"/>
      <c r="AM91" s="8315"/>
      <c r="AN91" s="8316"/>
      <c r="AO91" s="8317"/>
      <c r="AP91" s="8318"/>
      <c r="AQ91" s="8319"/>
      <c r="AR91" s="8320"/>
      <c r="AS91" s="8321"/>
      <c r="AT91" s="8322"/>
      <c r="AU91" s="8323"/>
      <c r="AV91" s="8324"/>
      <c r="AW91" s="8325"/>
      <c r="AX91" s="8326"/>
      <c r="AY91" s="8327"/>
      <c r="AZ91" s="8328"/>
      <c r="BA91" s="8329"/>
      <c r="BB91" s="8330"/>
      <c r="BC91" s="8331"/>
      <c r="BD91" s="8332"/>
      <c r="BE91" s="8333"/>
      <c r="BF91" s="8334"/>
      <c r="BG91" s="8335"/>
      <c r="BH91" s="8336"/>
      <c r="BI91" s="8337"/>
      <c r="BJ91" s="8338"/>
      <c r="BK91" s="8339"/>
      <c r="BL91" s="8340"/>
      <c r="BM91" s="8341"/>
      <c r="BN91" s="8342"/>
      <c r="BO91" s="8343"/>
      <c r="BP91" s="8344"/>
      <c r="BQ91" s="8345"/>
      <c r="BR91" s="8346"/>
      <c r="BS91" s="8347"/>
      <c r="BT91" s="8348"/>
      <c r="BU91" s="8349"/>
      <c r="BV91" s="8350"/>
      <c r="BW91" s="8351"/>
      <c r="BX91" s="8352"/>
      <c r="BY91" s="8353"/>
      <c r="BZ91" s="8354"/>
      <c r="CA91" s="8355"/>
      <c r="CB91" s="8356"/>
      <c r="CC91" s="8357"/>
      <c r="CD91" s="8358"/>
      <c r="CE91" s="8359"/>
      <c r="CF91" s="8360"/>
      <c r="CG91" s="8361"/>
      <c r="CH91" s="8362"/>
      <c r="CI91" s="8363"/>
      <c r="CJ91" s="8364"/>
      <c r="CK91" s="8365"/>
      <c r="CL91" s="8366"/>
      <c r="CM91" s="8367"/>
      <c r="CN91" s="8368"/>
      <c r="CO91" s="8369"/>
      <c r="CP91" s="8370"/>
      <c r="CQ91" s="8371"/>
      <c r="CR91" s="8372"/>
      <c r="CS91" s="8373"/>
      <c r="CT91" s="8374"/>
      <c r="CU91" s="8375"/>
      <c r="CV91" s="8376"/>
      <c r="CW91" s="8377"/>
      <c r="CX91" s="8378"/>
      <c r="CY91" s="8379"/>
      <c r="CZ91" s="8380"/>
      <c r="DA91" s="8381"/>
      <c r="DB91" s="8382"/>
      <c r="DC91" s="8383"/>
      <c r="DD91" s="8384"/>
      <c r="DE91" s="8385"/>
      <c r="DF91" s="8386"/>
      <c r="DG91" s="8387"/>
      <c r="DH91" s="8388"/>
      <c r="DI91" s="8389"/>
      <c r="DJ91" s="8390"/>
      <c r="DK91" s="8391"/>
      <c r="DL91" s="8392"/>
      <c r="DM91" s="8393"/>
      <c r="DN91" s="8394"/>
      <c r="DO91" s="8395"/>
      <c r="DP91" s="8396"/>
      <c r="DQ91" s="8397"/>
      <c r="DR91" s="8398"/>
      <c r="DS91" s="8399"/>
      <c r="DT91" s="8400"/>
      <c r="DU91" s="8401"/>
      <c r="DV91" s="8402"/>
      <c r="DW91" s="8403"/>
      <c r="DX91" s="8404"/>
      <c r="DY91" s="8405"/>
      <c r="DZ91" s="8406"/>
      <c r="EA91" s="8407"/>
      <c r="EB91" s="21052"/>
      <c r="EC91" s="21053"/>
      <c r="ED91" s="21054"/>
      <c r="EE91" s="21055"/>
      <c r="EF91" s="21056"/>
      <c r="EG91" s="21057"/>
      <c r="EH91" s="21058"/>
      <c r="EI91" s="21059"/>
      <c r="EJ91" s="21060"/>
      <c r="EK91" s="21061"/>
      <c r="EL91" s="21062"/>
      <c r="EM91" s="21063"/>
      <c r="EN91" s="21064"/>
      <c r="EO91" s="21065"/>
      <c r="EP91" s="21066"/>
      <c r="EQ91" s="21067"/>
      <c r="ER91" s="21068"/>
      <c r="ES91" s="21069"/>
      <c r="ET91" s="21070"/>
      <c r="EU91" s="21071"/>
      <c r="EV91" s="21072"/>
      <c r="EW91" s="21073"/>
      <c r="EX91" s="8408"/>
      <c r="EY91" s="7193" t="s">
        <v>526</v>
      </c>
      <c r="EZ91" s="6889"/>
      <c r="FA91" s="7194"/>
      <c r="FB91" s="7194" t="str">
        <f>IF(T91="","",T91)</f>
        <v>Добавить значение признака дифференциации</v>
      </c>
      <c r="FC91" s="7194"/>
      <c r="FD91" s="7194"/>
    </row>
    <row s="34782" customFormat="1" customHeight="1" ht="21">
      <c r="A92" s="7182"/>
      <c r="B92" s="7182"/>
      <c r="C92" s="7182"/>
      <c r="D92" s="7182"/>
      <c r="E92" s="7183"/>
      <c r="F92" s="7183">
        <v>1</v>
      </c>
      <c r="G92" s="7183"/>
      <c r="H92" s="7183"/>
      <c r="I92" s="7199"/>
      <c r="J92" s="7182"/>
      <c r="K92" s="7182"/>
      <c r="L92" s="7185"/>
      <c r="M92" s="7200"/>
      <c r="N92" s="7200"/>
      <c r="O92" s="7200"/>
      <c r="P92" s="7201"/>
      <c r="Q92" s="7201"/>
      <c r="R92" s="7202"/>
      <c r="S92" s="8410"/>
      <c r="T92" s="8411" t="s">
        <v>453</v>
      </c>
      <c r="U92" s="8412"/>
      <c r="V92" s="8413"/>
      <c r="W92" s="8414"/>
      <c r="X92" s="8415"/>
      <c r="Y92" s="8416"/>
      <c r="Z92" s="8417"/>
      <c r="AA92" s="8418"/>
      <c r="AB92" s="8419"/>
      <c r="AC92" s="8420"/>
      <c r="AD92" s="8421"/>
      <c r="AE92" s="8422"/>
      <c r="AF92" s="8423"/>
      <c r="AG92" s="8424"/>
      <c r="AH92" s="8425"/>
      <c r="AI92" s="8426"/>
      <c r="AJ92" s="8427"/>
      <c r="AK92" s="8428"/>
      <c r="AL92" s="8429"/>
      <c r="AM92" s="8430"/>
      <c r="AN92" s="8431"/>
      <c r="AO92" s="8432"/>
      <c r="AP92" s="8433"/>
      <c r="AQ92" s="8434"/>
      <c r="AR92" s="8435"/>
      <c r="AS92" s="8436"/>
      <c r="AT92" s="8437"/>
      <c r="AU92" s="8438"/>
      <c r="AV92" s="8439"/>
      <c r="AW92" s="8440"/>
      <c r="AX92" s="8441"/>
      <c r="AY92" s="8442"/>
      <c r="AZ92" s="8443"/>
      <c r="BA92" s="8444"/>
      <c r="BB92" s="8445"/>
      <c r="BC92" s="8446"/>
      <c r="BD92" s="8447"/>
      <c r="BE92" s="8448"/>
      <c r="BF92" s="8449"/>
      <c r="BG92" s="8450"/>
      <c r="BH92" s="8451"/>
      <c r="BI92" s="8452"/>
      <c r="BJ92" s="8453"/>
      <c r="BK92" s="8454"/>
      <c r="BL92" s="8455"/>
      <c r="BM92" s="8456"/>
      <c r="BN92" s="8457"/>
      <c r="BO92" s="8458"/>
      <c r="BP92" s="8459"/>
      <c r="BQ92" s="8460"/>
      <c r="BR92" s="8461"/>
      <c r="BS92" s="8462"/>
      <c r="BT92" s="8463"/>
      <c r="BU92" s="8464"/>
      <c r="BV92" s="8465"/>
      <c r="BW92" s="8466"/>
      <c r="BX92" s="8467"/>
      <c r="BY92" s="8468"/>
      <c r="BZ92" s="8469"/>
      <c r="CA92" s="8470"/>
      <c r="CB92" s="8471"/>
      <c r="CC92" s="8472"/>
      <c r="CD92" s="8473"/>
      <c r="CE92" s="8474"/>
      <c r="CF92" s="8475"/>
      <c r="CG92" s="8476"/>
      <c r="CH92" s="8477"/>
      <c r="CI92" s="8478"/>
      <c r="CJ92" s="8479"/>
      <c r="CK92" s="8480"/>
      <c r="CL92" s="8481"/>
      <c r="CM92" s="8482"/>
      <c r="CN92" s="8483"/>
      <c r="CO92" s="8484"/>
      <c r="CP92" s="8485"/>
      <c r="CQ92" s="8486"/>
      <c r="CR92" s="8487"/>
      <c r="CS92" s="8488"/>
      <c r="CT92" s="8489"/>
      <c r="CU92" s="8490"/>
      <c r="CV92" s="8491"/>
      <c r="CW92" s="8492"/>
      <c r="CX92" s="8493"/>
      <c r="CY92" s="8494"/>
      <c r="CZ92" s="8495"/>
      <c r="DA92" s="8496"/>
      <c r="DB92" s="8497"/>
      <c r="DC92" s="8498"/>
      <c r="DD92" s="8499"/>
      <c r="DE92" s="8500"/>
      <c r="DF92" s="8501"/>
      <c r="DG92" s="8502"/>
      <c r="DH92" s="8503"/>
      <c r="DI92" s="8504"/>
      <c r="DJ92" s="8505"/>
      <c r="DK92" s="8506"/>
      <c r="DL92" s="8507"/>
      <c r="DM92" s="8508"/>
      <c r="DN92" s="8509"/>
      <c r="DO92" s="8510"/>
      <c r="DP92" s="8511"/>
      <c r="DQ92" s="8512"/>
      <c r="DR92" s="8513"/>
      <c r="DS92" s="8514"/>
      <c r="DT92" s="8515"/>
      <c r="DU92" s="8516"/>
      <c r="DV92" s="8517"/>
      <c r="DW92" s="8518"/>
      <c r="DX92" s="8519"/>
      <c r="DY92" s="8520"/>
      <c r="DZ92" s="8521"/>
      <c r="EA92" s="8522"/>
      <c r="EB92" s="21189"/>
      <c r="EC92" s="21190"/>
      <c r="ED92" s="21191"/>
      <c r="EE92" s="21192"/>
      <c r="EF92" s="21193"/>
      <c r="EG92" s="21194"/>
      <c r="EH92" s="21195"/>
      <c r="EI92" s="21196"/>
      <c r="EJ92" s="21197"/>
      <c r="EK92" s="21198"/>
      <c r="EL92" s="21199"/>
      <c r="EM92" s="21200"/>
      <c r="EN92" s="21201"/>
      <c r="EO92" s="21202"/>
      <c r="EP92" s="21203"/>
      <c r="EQ92" s="21204"/>
      <c r="ER92" s="21205"/>
      <c r="ES92" s="21206"/>
      <c r="ET92" s="21207"/>
      <c r="EU92" s="21208"/>
      <c r="EV92" s="21209"/>
      <c r="EW92" s="21210"/>
      <c r="EX92" s="8523"/>
      <c r="EY92" s="8524"/>
      <c r="EZ92" s="6889"/>
      <c r="FA92" s="7194"/>
      <c r="FB92" s="7194" t="str">
        <f>IF(T92="","",T92)</f>
        <v>Добавить группу потребителей</v>
      </c>
      <c r="FC92" s="7194"/>
      <c r="FD92" s="7194"/>
    </row>
    <row s="34920" customFormat="1" customHeight="1" ht="21">
      <c r="A93" s="7182"/>
      <c r="B93" s="7182"/>
      <c r="C93" s="7182"/>
      <c r="D93" s="7182"/>
      <c r="E93" s="7183"/>
      <c r="F93" s="7183">
        <v>1</v>
      </c>
      <c r="G93" s="7183"/>
      <c r="H93" s="7184"/>
      <c r="I93" s="7182"/>
      <c r="J93" s="7182"/>
      <c r="K93" s="7182"/>
      <c r="L93" s="7185"/>
      <c r="M93" s="7186"/>
      <c r="N93" s="7186"/>
      <c r="O93" s="6881"/>
      <c r="P93" s="7451"/>
      <c r="Q93" s="7452"/>
      <c r="R93" s="7453"/>
      <c r="S93" s="8526"/>
      <c r="T93" s="8527" t="s">
        <v>527</v>
      </c>
      <c r="U93" s="8528"/>
      <c r="V93" s="8529"/>
      <c r="W93" s="8530"/>
      <c r="X93" s="8531"/>
      <c r="Y93" s="8532"/>
      <c r="Z93" s="8533"/>
      <c r="AA93" s="8534"/>
      <c r="AB93" s="8535"/>
      <c r="AC93" s="8536"/>
      <c r="AD93" s="8537"/>
      <c r="AE93" s="8538"/>
      <c r="AF93" s="8539"/>
      <c r="AG93" s="8540"/>
      <c r="AH93" s="8541"/>
      <c r="AI93" s="8542"/>
      <c r="AJ93" s="8543"/>
      <c r="AK93" s="8544"/>
      <c r="AL93" s="8545"/>
      <c r="AM93" s="8546"/>
      <c r="AN93" s="8547"/>
      <c r="AO93" s="8548"/>
      <c r="AP93" s="8549"/>
      <c r="AQ93" s="8550"/>
      <c r="AR93" s="8551"/>
      <c r="AS93" s="8552"/>
      <c r="AT93" s="8553"/>
      <c r="AU93" s="8554"/>
      <c r="AV93" s="8555"/>
      <c r="AW93" s="8556"/>
      <c r="AX93" s="8557"/>
      <c r="AY93" s="8558"/>
      <c r="AZ93" s="8559"/>
      <c r="BA93" s="8560"/>
      <c r="BB93" s="8561"/>
      <c r="BC93" s="8562"/>
      <c r="BD93" s="8563"/>
      <c r="BE93" s="8564"/>
      <c r="BF93" s="8565"/>
      <c r="BG93" s="8566"/>
      <c r="BH93" s="8567"/>
      <c r="BI93" s="8568"/>
      <c r="BJ93" s="8569"/>
      <c r="BK93" s="8570"/>
      <c r="BL93" s="8571"/>
      <c r="BM93" s="8572"/>
      <c r="BN93" s="8573"/>
      <c r="BO93" s="8574"/>
      <c r="BP93" s="8575"/>
      <c r="BQ93" s="8576"/>
      <c r="BR93" s="8577"/>
      <c r="BS93" s="8578"/>
      <c r="BT93" s="8579"/>
      <c r="BU93" s="8580"/>
      <c r="BV93" s="8581"/>
      <c r="BW93" s="8582"/>
      <c r="BX93" s="8583"/>
      <c r="BY93" s="8584"/>
      <c r="BZ93" s="8585"/>
      <c r="CA93" s="8586"/>
      <c r="CB93" s="8587"/>
      <c r="CC93" s="8588"/>
      <c r="CD93" s="8589"/>
      <c r="CE93" s="8590"/>
      <c r="CF93" s="8591"/>
      <c r="CG93" s="8592"/>
      <c r="CH93" s="8593"/>
      <c r="CI93" s="8594"/>
      <c r="CJ93" s="8595"/>
      <c r="CK93" s="8596"/>
      <c r="CL93" s="8597"/>
      <c r="CM93" s="8598"/>
      <c r="CN93" s="8599"/>
      <c r="CO93" s="8600"/>
      <c r="CP93" s="8601"/>
      <c r="CQ93" s="8602"/>
      <c r="CR93" s="8603"/>
      <c r="CS93" s="8604"/>
      <c r="CT93" s="8605"/>
      <c r="CU93" s="8606"/>
      <c r="CV93" s="8607"/>
      <c r="CW93" s="8608"/>
      <c r="CX93" s="8609"/>
      <c r="CY93" s="8610"/>
      <c r="CZ93" s="8611"/>
      <c r="DA93" s="8612"/>
      <c r="DB93" s="8613"/>
      <c r="DC93" s="8614"/>
      <c r="DD93" s="8615"/>
      <c r="DE93" s="8616"/>
      <c r="DF93" s="8617"/>
      <c r="DG93" s="8618"/>
      <c r="DH93" s="8619"/>
      <c r="DI93" s="8620"/>
      <c r="DJ93" s="8621"/>
      <c r="DK93" s="8622"/>
      <c r="DL93" s="8623"/>
      <c r="DM93" s="8624"/>
      <c r="DN93" s="8625"/>
      <c r="DO93" s="8626"/>
      <c r="DP93" s="8627"/>
      <c r="DQ93" s="8628"/>
      <c r="DR93" s="8629"/>
      <c r="DS93" s="8630"/>
      <c r="DT93" s="8631"/>
      <c r="DU93" s="8632"/>
      <c r="DV93" s="8633"/>
      <c r="DW93" s="8634"/>
      <c r="DX93" s="8635"/>
      <c r="DY93" s="8636"/>
      <c r="DZ93" s="8637"/>
      <c r="EA93" s="8638"/>
      <c r="EB93" s="21327"/>
      <c r="EC93" s="21328"/>
      <c r="ED93" s="21329"/>
      <c r="EE93" s="21330"/>
      <c r="EF93" s="21331"/>
      <c r="EG93" s="21332"/>
      <c r="EH93" s="21333"/>
      <c r="EI93" s="21334"/>
      <c r="EJ93" s="21335"/>
      <c r="EK93" s="21336"/>
      <c r="EL93" s="21337"/>
      <c r="EM93" s="21338"/>
      <c r="EN93" s="21339"/>
      <c r="EO93" s="21340"/>
      <c r="EP93" s="21341"/>
      <c r="EQ93" s="21342"/>
      <c r="ER93" s="21343"/>
      <c r="ES93" s="21344"/>
      <c r="ET93" s="21345"/>
      <c r="EU93" s="21346"/>
      <c r="EV93" s="21347"/>
      <c r="EW93" s="21348"/>
      <c r="EX93" s="8639"/>
      <c r="EY93" s="8640"/>
      <c r="EZ93" s="6889"/>
      <c r="FA93" s="7194"/>
      <c r="FB93" s="7194" t="str">
        <f>IF(T93="","",T93)</f>
        <v>Добавить наименование признака дифференциации</v>
      </c>
      <c r="FC93" s="7194"/>
      <c r="FD93" s="7194"/>
    </row>
    <row s="35058" customFormat="1" customHeight="1" ht="14.25">
      <c r="A94" s="7570"/>
      <c r="B94" s="7570"/>
      <c r="C94" s="7570"/>
      <c r="D94" s="7570"/>
      <c r="E94" s="7183"/>
      <c r="F94" s="7184">
        <v>1</v>
      </c>
      <c r="G94" s="7570"/>
      <c r="H94" s="7570"/>
      <c r="I94" s="7570"/>
      <c r="J94" s="7570"/>
      <c r="K94" s="7570"/>
      <c r="L94" s="7571"/>
      <c r="M94" s="7572"/>
      <c r="N94" s="7572"/>
      <c r="O94" s="6889"/>
      <c r="P94" s="7573"/>
      <c r="Q94" s="7574"/>
      <c r="R94" s="7573"/>
      <c r="S94" s="7575"/>
      <c r="T94" s="7576" t="s">
        <v>262</v>
      </c>
      <c r="U94" s="6880"/>
      <c r="V94" s="6880"/>
      <c r="W94" s="6880"/>
      <c r="X94" s="6880"/>
      <c r="Y94" s="6880"/>
      <c r="Z94" s="6880"/>
      <c r="AA94" s="6880"/>
      <c r="AB94" s="6880"/>
      <c r="AC94" s="6880"/>
      <c r="AD94" s="6880"/>
      <c r="AE94" s="6880"/>
      <c r="AF94" s="6880"/>
      <c r="AG94" s="6880"/>
      <c r="AH94" s="6880"/>
      <c r="AI94" s="6880"/>
      <c r="AJ94" s="6880"/>
      <c r="AK94" s="6880"/>
      <c r="AL94" s="6880"/>
      <c r="AM94" s="6880"/>
      <c r="AN94" s="6880"/>
      <c r="AO94" s="6880"/>
      <c r="AP94" s="6880"/>
      <c r="AQ94" s="6880"/>
      <c r="AR94" s="6880"/>
      <c r="AS94" s="6880"/>
      <c r="AT94" s="6880"/>
      <c r="AU94" s="6880"/>
      <c r="AV94" s="6880"/>
      <c r="AW94" s="6880"/>
      <c r="AX94" s="6880"/>
      <c r="AY94" s="6880"/>
      <c r="AZ94" s="6880"/>
      <c r="BA94" s="6880"/>
      <c r="BB94" s="6880"/>
      <c r="BC94" s="6880"/>
      <c r="BD94" s="6880"/>
      <c r="BE94" s="6880"/>
      <c r="BF94" s="6880"/>
      <c r="BG94" s="6880"/>
      <c r="BH94" s="6880"/>
      <c r="BI94" s="6880"/>
      <c r="BJ94" s="6880"/>
      <c r="BK94" s="6880"/>
      <c r="BL94" s="6880"/>
      <c r="BM94" s="6880"/>
      <c r="BN94" s="6880"/>
      <c r="BO94" s="6880"/>
      <c r="BP94" s="6880"/>
      <c r="BQ94" s="6880"/>
      <c r="BR94" s="6880"/>
      <c r="BS94" s="6880"/>
      <c r="BT94" s="6880"/>
      <c r="BU94" s="6880"/>
      <c r="BV94" s="6880"/>
      <c r="BW94" s="6880"/>
      <c r="BX94" s="6880"/>
      <c r="BY94" s="6880"/>
      <c r="BZ94" s="6880"/>
      <c r="CA94" s="6880"/>
      <c r="CB94" s="6880"/>
      <c r="CC94" s="6880"/>
      <c r="CD94" s="6880"/>
      <c r="CE94" s="6880"/>
      <c r="CF94" s="6880"/>
      <c r="CG94" s="6880"/>
      <c r="CH94" s="6880"/>
      <c r="CI94" s="6880"/>
      <c r="CJ94" s="6880"/>
      <c r="CK94" s="6880"/>
      <c r="CL94" s="6880"/>
      <c r="CM94" s="6880"/>
      <c r="CN94" s="6880"/>
      <c r="CO94" s="6880"/>
      <c r="CP94" s="6880"/>
      <c r="CQ94" s="6880"/>
      <c r="CR94" s="6880"/>
      <c r="CS94" s="6880"/>
      <c r="CT94" s="6880"/>
      <c r="CU94" s="6880"/>
      <c r="CV94" s="6880"/>
      <c r="CW94" s="6880"/>
      <c r="CX94" s="6880"/>
      <c r="CY94" s="6880"/>
      <c r="CZ94" s="6880"/>
      <c r="DA94" s="6880"/>
      <c r="DB94" s="6880"/>
      <c r="DC94" s="6880"/>
      <c r="DD94" s="6880"/>
      <c r="DE94" s="6880"/>
      <c r="DF94" s="6880"/>
      <c r="DG94" s="6880"/>
      <c r="DH94" s="6880"/>
      <c r="DI94" s="6880"/>
      <c r="DJ94" s="6880"/>
      <c r="DK94" s="6880"/>
      <c r="DL94" s="6880"/>
      <c r="DM94" s="6880"/>
      <c r="DN94" s="6880"/>
      <c r="DO94" s="6880"/>
      <c r="DP94" s="6880"/>
      <c r="DQ94" s="6880"/>
      <c r="DR94" s="6880"/>
      <c r="DS94" s="6880"/>
      <c r="DT94" s="6880"/>
      <c r="DU94" s="6880"/>
      <c r="DV94" s="6880"/>
      <c r="DW94" s="6880"/>
      <c r="DX94" s="6880"/>
      <c r="DY94" s="6880"/>
      <c r="DZ94" s="6880"/>
      <c r="EA94" s="6880"/>
      <c r="EB94" s="19228"/>
      <c r="EC94" s="19228"/>
      <c r="ED94" s="19228"/>
      <c r="EE94" s="19228"/>
      <c r="EF94" s="19228"/>
      <c r="EG94" s="19228"/>
      <c r="EH94" s="19228"/>
      <c r="EI94" s="19228"/>
      <c r="EJ94" s="19228"/>
      <c r="EK94" s="19228"/>
      <c r="EL94" s="19228"/>
      <c r="EM94" s="19228"/>
      <c r="EN94" s="19228"/>
      <c r="EO94" s="19228"/>
      <c r="EP94" s="19228"/>
      <c r="EQ94" s="19228"/>
      <c r="ER94" s="19228"/>
      <c r="ES94" s="19228"/>
      <c r="ET94" s="19228"/>
      <c r="EU94" s="19228"/>
      <c r="EV94" s="19228"/>
      <c r="EW94" s="19228"/>
      <c r="EX94" s="6880"/>
      <c r="EY94" s="6880"/>
      <c r="EZ94" s="6889"/>
      <c r="FA94" s="7194"/>
      <c r="FB94" s="7194" t="str">
        <f>IF(T94="","",T94)</f>
        <v>Добавить централизованную систему для дифференциации</v>
      </c>
      <c r="FC94" s="7194"/>
      <c r="FD94" s="7194"/>
    </row>
    <row s="35059" customFormat="1" customHeight="1" ht="23.25">
      <c r="A95" s="7182"/>
      <c r="B95" s="7182" t="s">
        <v>280</v>
      </c>
      <c r="C95" s="7182"/>
      <c r="D95" s="7182"/>
      <c r="E95" s="7183"/>
      <c r="F95" s="7184" t="s">
        <v>89</v>
      </c>
      <c r="G95" s="7182"/>
      <c r="H95" s="7182"/>
      <c r="I95" s="7182"/>
      <c r="J95" s="7182"/>
      <c r="K95" s="7182"/>
      <c r="L95" s="7185"/>
      <c r="M95" s="7186"/>
      <c r="N95" s="7186"/>
      <c r="O95" s="7186"/>
      <c r="P95" s="7187"/>
      <c r="Q95" s="7188"/>
      <c r="R95" s="7189"/>
      <c r="S95" s="7190" t="str">
        <f>INDEX(PT_DIFFERENTIATION_NUM_TER,MATCH(B95,PT_DIFFERENTIATION_TER_ID,0))</f>
        <v>2.3</v>
      </c>
      <c r="T95" s="7191" t="s">
        <v>438</v>
      </c>
      <c r="U95" s="7192"/>
      <c r="V95" s="6602"/>
      <c r="W95" s="6603"/>
      <c r="X95" s="6603"/>
      <c r="Y95" s="6603"/>
      <c r="Z95" s="6603"/>
      <c r="AA95" s="6603"/>
      <c r="AB95" s="6603"/>
      <c r="AC95" s="6603"/>
      <c r="AD95" s="6603"/>
      <c r="AE95" s="6603"/>
      <c r="AF95" s="6604"/>
      <c r="AG95" s="6602" t="str">
        <f>INDEX(PT_DIFFERENTIATION_TER,MATCH(B95,PT_DIFFERENTIATION_TER_ID,0))</f>
        <v>Территория 3</v>
      </c>
      <c r="AH95" s="6603"/>
      <c r="AI95" s="6603"/>
      <c r="AJ95" s="6603"/>
      <c r="AK95" s="6603"/>
      <c r="AL95" s="6603"/>
      <c r="AM95" s="6603"/>
      <c r="AN95" s="6603"/>
      <c r="AO95" s="6603"/>
      <c r="AP95" s="6603"/>
      <c r="AQ95" s="6603"/>
      <c r="AR95" s="6602"/>
      <c r="AS95" s="6603"/>
      <c r="AT95" s="6603"/>
      <c r="AU95" s="6603"/>
      <c r="AV95" s="6603"/>
      <c r="AW95" s="6603"/>
      <c r="AX95" s="6603"/>
      <c r="AY95" s="6603"/>
      <c r="AZ95" s="6603"/>
      <c r="BA95" s="6603"/>
      <c r="BB95" s="6604"/>
      <c r="BC95" s="6602"/>
      <c r="BD95" s="6603"/>
      <c r="BE95" s="6603"/>
      <c r="BF95" s="6603"/>
      <c r="BG95" s="6603"/>
      <c r="BH95" s="6603"/>
      <c r="BI95" s="6603"/>
      <c r="BJ95" s="6603"/>
      <c r="BK95" s="6603"/>
      <c r="BL95" s="6603"/>
      <c r="BM95" s="6604"/>
      <c r="BN95" s="6602"/>
      <c r="BO95" s="6603"/>
      <c r="BP95" s="6603"/>
      <c r="BQ95" s="6603"/>
      <c r="BR95" s="6603"/>
      <c r="BS95" s="6603"/>
      <c r="BT95" s="6603"/>
      <c r="BU95" s="6603"/>
      <c r="BV95" s="6603"/>
      <c r="BW95" s="6603"/>
      <c r="BX95" s="6604"/>
      <c r="BY95" s="6602"/>
      <c r="BZ95" s="6603"/>
      <c r="CA95" s="6603"/>
      <c r="CB95" s="6603"/>
      <c r="CC95" s="6603"/>
      <c r="CD95" s="6603"/>
      <c r="CE95" s="6603"/>
      <c r="CF95" s="6603"/>
      <c r="CG95" s="6603"/>
      <c r="CH95" s="6603"/>
      <c r="CI95" s="6604"/>
      <c r="CJ95" s="6602"/>
      <c r="CK95" s="6603"/>
      <c r="CL95" s="6603"/>
      <c r="CM95" s="6603"/>
      <c r="CN95" s="6603"/>
      <c r="CO95" s="6603"/>
      <c r="CP95" s="6603"/>
      <c r="CQ95" s="6603"/>
      <c r="CR95" s="6603"/>
      <c r="CS95" s="6603"/>
      <c r="CT95" s="6604"/>
      <c r="CU95" s="6602"/>
      <c r="CV95" s="6603"/>
      <c r="CW95" s="6603"/>
      <c r="CX95" s="6603"/>
      <c r="CY95" s="6603"/>
      <c r="CZ95" s="6603"/>
      <c r="DA95" s="6603"/>
      <c r="DB95" s="6603"/>
      <c r="DC95" s="6603"/>
      <c r="DD95" s="6603"/>
      <c r="DE95" s="6604"/>
      <c r="DF95" s="6602"/>
      <c r="DG95" s="6603"/>
      <c r="DH95" s="6603"/>
      <c r="DI95" s="6603"/>
      <c r="DJ95" s="6603"/>
      <c r="DK95" s="6603"/>
      <c r="DL95" s="6603"/>
      <c r="DM95" s="6603"/>
      <c r="DN95" s="6603"/>
      <c r="DO95" s="6603"/>
      <c r="DP95" s="6604"/>
      <c r="DQ95" s="6602"/>
      <c r="DR95" s="6603"/>
      <c r="DS95" s="6603"/>
      <c r="DT95" s="6603"/>
      <c r="DU95" s="6603"/>
      <c r="DV95" s="6603"/>
      <c r="DW95" s="6603"/>
      <c r="DX95" s="6603"/>
      <c r="DY95" s="6603"/>
      <c r="DZ95" s="6603"/>
      <c r="EA95" s="6604"/>
      <c r="EB95" s="18872"/>
      <c r="EC95" s="18873"/>
      <c r="ED95" s="18873"/>
      <c r="EE95" s="18873"/>
      <c r="EF95" s="18873"/>
      <c r="EG95" s="18873"/>
      <c r="EH95" s="18873"/>
      <c r="EI95" s="18873"/>
      <c r="EJ95" s="18873"/>
      <c r="EK95" s="18873"/>
      <c r="EL95" s="18874"/>
      <c r="EM95" s="18872"/>
      <c r="EN95" s="18873"/>
      <c r="EO95" s="18873"/>
      <c r="EP95" s="18873"/>
      <c r="EQ95" s="18873"/>
      <c r="ER95" s="18873"/>
      <c r="ES95" s="18873"/>
      <c r="ET95" s="18873"/>
      <c r="EU95" s="18873"/>
      <c r="EV95" s="18873"/>
      <c r="EW95" s="18874"/>
      <c r="EX95" s="6604"/>
      <c r="EY95" s="7193" t="s">
        <v>439</v>
      </c>
      <c r="EZ95" s="6889"/>
      <c r="FA95" s="7194"/>
      <c r="FB95" s="7194" t="str">
        <f>IF(T95="","",T95)</f>
        <v>Территория действия тарифа</v>
      </c>
      <c r="FC95" s="7194"/>
      <c r="FD95" s="7194"/>
    </row>
    <row s="35060" customFormat="1" customHeight="1" ht="23.25">
      <c r="A96" s="7182"/>
      <c r="B96" s="7182"/>
      <c r="C96" s="7182" t="s">
        <v>281</v>
      </c>
      <c r="D96" s="7182"/>
      <c r="E96" s="7183"/>
      <c r="F96" s="7183" t="s">
        <v>102</v>
      </c>
      <c r="G96" s="7184">
        <v>1</v>
      </c>
      <c r="H96" s="7182"/>
      <c r="I96" s="7182"/>
      <c r="J96" s="7182"/>
      <c r="K96" s="7182"/>
      <c r="L96" s="7185"/>
      <c r="M96" s="7186"/>
      <c r="N96" s="7186"/>
      <c r="O96" s="7186"/>
      <c r="P96" s="7196"/>
      <c r="Q96" s="7188"/>
      <c r="R96" s="7189"/>
      <c r="S96" s="7190" t="str">
        <f>INDEX(PT_DIFFERENTIATION_NUM_CS,MATCH(C96,PT_DIFFERENTIATION_CS_ID,0))</f>
        <v>2.3.1</v>
      </c>
      <c r="T96" s="7197" t="s">
        <v>569</v>
      </c>
      <c r="U96" s="7192"/>
      <c r="V96" s="6602"/>
      <c r="W96" s="6603"/>
      <c r="X96" s="6603"/>
      <c r="Y96" s="6603"/>
      <c r="Z96" s="6603"/>
      <c r="AA96" s="6603"/>
      <c r="AB96" s="6603"/>
      <c r="AC96" s="6603"/>
      <c r="AD96" s="6603"/>
      <c r="AE96" s="6603"/>
      <c r="AF96" s="6604"/>
      <c r="AG96" s="6602" t="str">
        <f>INDEX(PT_DIFFERENTIATION_CS,MATCH(C96,PT_DIFFERENTIATION_CS_ID,0))</f>
        <v>н.п. Белое море</v>
      </c>
      <c r="AH96" s="6603"/>
      <c r="AI96" s="6603"/>
      <c r="AJ96" s="6603"/>
      <c r="AK96" s="6603"/>
      <c r="AL96" s="6603"/>
      <c r="AM96" s="6603"/>
      <c r="AN96" s="6603"/>
      <c r="AO96" s="6603"/>
      <c r="AP96" s="6603"/>
      <c r="AQ96" s="6603"/>
      <c r="AR96" s="6602"/>
      <c r="AS96" s="6603"/>
      <c r="AT96" s="6603"/>
      <c r="AU96" s="6603"/>
      <c r="AV96" s="6603"/>
      <c r="AW96" s="6603"/>
      <c r="AX96" s="6603"/>
      <c r="AY96" s="6603"/>
      <c r="AZ96" s="6603"/>
      <c r="BA96" s="6603"/>
      <c r="BB96" s="6604"/>
      <c r="BC96" s="6602"/>
      <c r="BD96" s="6603"/>
      <c r="BE96" s="6603"/>
      <c r="BF96" s="6603"/>
      <c r="BG96" s="6603"/>
      <c r="BH96" s="6603"/>
      <c r="BI96" s="6603"/>
      <c r="BJ96" s="6603"/>
      <c r="BK96" s="6603"/>
      <c r="BL96" s="6603"/>
      <c r="BM96" s="6604"/>
      <c r="BN96" s="6602"/>
      <c r="BO96" s="6603"/>
      <c r="BP96" s="6603"/>
      <c r="BQ96" s="6603"/>
      <c r="BR96" s="6603"/>
      <c r="BS96" s="6603"/>
      <c r="BT96" s="6603"/>
      <c r="BU96" s="6603"/>
      <c r="BV96" s="6603"/>
      <c r="BW96" s="6603"/>
      <c r="BX96" s="6604"/>
      <c r="BY96" s="6602"/>
      <c r="BZ96" s="6603"/>
      <c r="CA96" s="6603"/>
      <c r="CB96" s="6603"/>
      <c r="CC96" s="6603"/>
      <c r="CD96" s="6603"/>
      <c r="CE96" s="6603"/>
      <c r="CF96" s="6603"/>
      <c r="CG96" s="6603"/>
      <c r="CH96" s="6603"/>
      <c r="CI96" s="6604"/>
      <c r="CJ96" s="6602"/>
      <c r="CK96" s="6603"/>
      <c r="CL96" s="6603"/>
      <c r="CM96" s="6603"/>
      <c r="CN96" s="6603"/>
      <c r="CO96" s="6603"/>
      <c r="CP96" s="6603"/>
      <c r="CQ96" s="6603"/>
      <c r="CR96" s="6603"/>
      <c r="CS96" s="6603"/>
      <c r="CT96" s="6604"/>
      <c r="CU96" s="6602"/>
      <c r="CV96" s="6603"/>
      <c r="CW96" s="6603"/>
      <c r="CX96" s="6603"/>
      <c r="CY96" s="6603"/>
      <c r="CZ96" s="6603"/>
      <c r="DA96" s="6603"/>
      <c r="DB96" s="6603"/>
      <c r="DC96" s="6603"/>
      <c r="DD96" s="6603"/>
      <c r="DE96" s="6604"/>
      <c r="DF96" s="6602"/>
      <c r="DG96" s="6603"/>
      <c r="DH96" s="6603"/>
      <c r="DI96" s="6603"/>
      <c r="DJ96" s="6603"/>
      <c r="DK96" s="6603"/>
      <c r="DL96" s="6603"/>
      <c r="DM96" s="6603"/>
      <c r="DN96" s="6603"/>
      <c r="DO96" s="6603"/>
      <c r="DP96" s="6604"/>
      <c r="DQ96" s="6602"/>
      <c r="DR96" s="6603"/>
      <c r="DS96" s="6603"/>
      <c r="DT96" s="6603"/>
      <c r="DU96" s="6603"/>
      <c r="DV96" s="6603"/>
      <c r="DW96" s="6603"/>
      <c r="DX96" s="6603"/>
      <c r="DY96" s="6603"/>
      <c r="DZ96" s="6603"/>
      <c r="EA96" s="6604"/>
      <c r="EB96" s="18872"/>
      <c r="EC96" s="18873"/>
      <c r="ED96" s="18873"/>
      <c r="EE96" s="18873"/>
      <c r="EF96" s="18873"/>
      <c r="EG96" s="18873"/>
      <c r="EH96" s="18873"/>
      <c r="EI96" s="18873"/>
      <c r="EJ96" s="18873"/>
      <c r="EK96" s="18873"/>
      <c r="EL96" s="18874"/>
      <c r="EM96" s="18872"/>
      <c r="EN96" s="18873"/>
      <c r="EO96" s="18873"/>
      <c r="EP96" s="18873"/>
      <c r="EQ96" s="18873"/>
      <c r="ER96" s="18873"/>
      <c r="ES96" s="18873"/>
      <c r="ET96" s="18873"/>
      <c r="EU96" s="18873"/>
      <c r="EV96" s="18873"/>
      <c r="EW96" s="18874"/>
      <c r="EX96" s="6604"/>
      <c r="EY96" s="7193" t="s">
        <v>570</v>
      </c>
      <c r="EZ96" s="6889"/>
      <c r="FA96" s="7194"/>
      <c r="FB96" s="7194" t="str">
        <f>IF(T96="","",T96)</f>
        <v>Наименование централизованной системы горячего водоснабжения</v>
      </c>
      <c r="FC96" s="7194"/>
      <c r="FD96" s="7194"/>
    </row>
    <row s="35061" customFormat="1" customHeight="1" ht="23.25">
      <c r="A97" s="7182"/>
      <c r="B97" s="7182"/>
      <c r="C97" s="7182"/>
      <c r="D97" s="7182"/>
      <c r="E97" s="7183"/>
      <c r="F97" s="7183" t="s">
        <v>102</v>
      </c>
      <c r="G97" s="7183"/>
      <c r="H97" s="7183"/>
      <c r="I97" s="7199" t="str">
        <f>S96&amp;".1"</f>
        <v>2.3.1.1</v>
      </c>
      <c r="J97" s="7182"/>
      <c r="K97" s="7182"/>
      <c r="L97" s="7185"/>
      <c r="M97" s="7200"/>
      <c r="N97" s="7200"/>
      <c r="O97" s="7200"/>
      <c r="P97" s="7201">
        <v>1</v>
      </c>
      <c r="Q97" s="7201"/>
      <c r="R97" s="7202"/>
      <c r="S97" s="7190" t="str">
        <f>$I97</f>
        <v>2.3.1.1</v>
      </c>
      <c r="T97" s="7203" t="s">
        <v>522</v>
      </c>
      <c r="U97" s="7192"/>
      <c r="V97" s="6605"/>
      <c r="W97" s="6606"/>
      <c r="X97" s="6606"/>
      <c r="Y97" s="6606"/>
      <c r="Z97" s="6606"/>
      <c r="AA97" s="6606"/>
      <c r="AB97" s="6606"/>
      <c r="AC97" s="6606"/>
      <c r="AD97" s="6606"/>
      <c r="AE97" s="6606"/>
      <c r="AF97" s="6607"/>
      <c r="AG97" s="7204"/>
      <c r="AH97" s="7205"/>
      <c r="AI97" s="7205"/>
      <c r="AJ97" s="7205"/>
      <c r="AK97" s="7205"/>
      <c r="AL97" s="7205"/>
      <c r="AM97" s="7205"/>
      <c r="AN97" s="7205"/>
      <c r="AO97" s="7205"/>
      <c r="AP97" s="7205"/>
      <c r="AQ97" s="7205"/>
      <c r="AR97" s="6605"/>
      <c r="AS97" s="6606"/>
      <c r="AT97" s="6606"/>
      <c r="AU97" s="6606"/>
      <c r="AV97" s="6606"/>
      <c r="AW97" s="6606"/>
      <c r="AX97" s="6606"/>
      <c r="AY97" s="6606"/>
      <c r="AZ97" s="6606"/>
      <c r="BA97" s="6606"/>
      <c r="BB97" s="6607"/>
      <c r="BC97" s="6605"/>
      <c r="BD97" s="6606"/>
      <c r="BE97" s="6606"/>
      <c r="BF97" s="6606"/>
      <c r="BG97" s="6606"/>
      <c r="BH97" s="6606"/>
      <c r="BI97" s="6606"/>
      <c r="BJ97" s="6606"/>
      <c r="BK97" s="6606"/>
      <c r="BL97" s="6606"/>
      <c r="BM97" s="6607"/>
      <c r="BN97" s="6605"/>
      <c r="BO97" s="6606"/>
      <c r="BP97" s="6606"/>
      <c r="BQ97" s="6606"/>
      <c r="BR97" s="6606"/>
      <c r="BS97" s="6606"/>
      <c r="BT97" s="6606"/>
      <c r="BU97" s="6606"/>
      <c r="BV97" s="6606"/>
      <c r="BW97" s="6606"/>
      <c r="BX97" s="6607"/>
      <c r="BY97" s="6605"/>
      <c r="BZ97" s="6606"/>
      <c r="CA97" s="6606"/>
      <c r="CB97" s="6606"/>
      <c r="CC97" s="6606"/>
      <c r="CD97" s="6606"/>
      <c r="CE97" s="6606"/>
      <c r="CF97" s="6606"/>
      <c r="CG97" s="6606"/>
      <c r="CH97" s="6606"/>
      <c r="CI97" s="6607"/>
      <c r="CJ97" s="6605"/>
      <c r="CK97" s="6606"/>
      <c r="CL97" s="6606"/>
      <c r="CM97" s="6606"/>
      <c r="CN97" s="6606"/>
      <c r="CO97" s="6606"/>
      <c r="CP97" s="6606"/>
      <c r="CQ97" s="6606"/>
      <c r="CR97" s="6606"/>
      <c r="CS97" s="6606"/>
      <c r="CT97" s="6607"/>
      <c r="CU97" s="6605"/>
      <c r="CV97" s="6606"/>
      <c r="CW97" s="6606"/>
      <c r="CX97" s="6606"/>
      <c r="CY97" s="6606"/>
      <c r="CZ97" s="6606"/>
      <c r="DA97" s="6606"/>
      <c r="DB97" s="6606"/>
      <c r="DC97" s="6606"/>
      <c r="DD97" s="6606"/>
      <c r="DE97" s="6607"/>
      <c r="DF97" s="6605"/>
      <c r="DG97" s="6606"/>
      <c r="DH97" s="6606"/>
      <c r="DI97" s="6606"/>
      <c r="DJ97" s="6606"/>
      <c r="DK97" s="6606"/>
      <c r="DL97" s="6606"/>
      <c r="DM97" s="6606"/>
      <c r="DN97" s="6606"/>
      <c r="DO97" s="6606"/>
      <c r="DP97" s="6607"/>
      <c r="DQ97" s="6605"/>
      <c r="DR97" s="6606"/>
      <c r="DS97" s="6606"/>
      <c r="DT97" s="6606"/>
      <c r="DU97" s="6606"/>
      <c r="DV97" s="6606"/>
      <c r="DW97" s="6606"/>
      <c r="DX97" s="6606"/>
      <c r="DY97" s="6606"/>
      <c r="DZ97" s="6606"/>
      <c r="EA97" s="6607"/>
      <c r="EB97" s="18878"/>
      <c r="EC97" s="18879"/>
      <c r="ED97" s="18879"/>
      <c r="EE97" s="18879"/>
      <c r="EF97" s="18879"/>
      <c r="EG97" s="18879"/>
      <c r="EH97" s="18879"/>
      <c r="EI97" s="18879"/>
      <c r="EJ97" s="18879"/>
      <c r="EK97" s="18879"/>
      <c r="EL97" s="18880"/>
      <c r="EM97" s="18878"/>
      <c r="EN97" s="18879"/>
      <c r="EO97" s="18879"/>
      <c r="EP97" s="18879"/>
      <c r="EQ97" s="18879"/>
      <c r="ER97" s="18879"/>
      <c r="ES97" s="18879"/>
      <c r="ET97" s="18879"/>
      <c r="EU97" s="18879"/>
      <c r="EV97" s="18879"/>
      <c r="EW97" s="18880"/>
      <c r="EX97" s="7206"/>
      <c r="EY97" s="7193" t="s">
        <v>523</v>
      </c>
      <c r="EZ97" s="6889"/>
      <c r="FA97" s="7194"/>
      <c r="FB97" s="7194" t="str">
        <f>IF(T97="","",T97)</f>
        <v>Наименование признака дифференциации</v>
      </c>
      <c r="FC97" s="7194"/>
      <c r="FD97" s="7194"/>
    </row>
    <row s="35062" customFormat="1" customHeight="1" ht="23.25">
      <c r="A98" s="7182"/>
      <c r="B98" s="7182"/>
      <c r="C98" s="7182"/>
      <c r="D98" s="7182"/>
      <c r="E98" s="7183"/>
      <c r="F98" s="7183" t="s">
        <v>102</v>
      </c>
      <c r="G98" s="7183"/>
      <c r="H98" s="7183"/>
      <c r="I98" s="7208"/>
      <c r="J98" s="7199" t="str">
        <f>I97&amp;".1"</f>
        <v>2.3.1.1.1</v>
      </c>
      <c r="K98" s="7182"/>
      <c r="L98" s="7185" t="s">
        <v>447</v>
      </c>
      <c r="M98" s="7200"/>
      <c r="N98" s="7200"/>
      <c r="O98" s="7200"/>
      <c r="P98" s="7201"/>
      <c r="Q98" s="7201">
        <v>1</v>
      </c>
      <c r="R98" s="7209"/>
      <c r="S98" s="7190" t="str">
        <f>$J98</f>
        <v>2.3.1.1.1</v>
      </c>
      <c r="T98" s="7210" t="s">
        <v>448</v>
      </c>
      <c r="U98" s="7192"/>
      <c r="V98" s="6608"/>
      <c r="W98" s="6609"/>
      <c r="X98" s="6609"/>
      <c r="Y98" s="6609"/>
      <c r="Z98" s="6609"/>
      <c r="AA98" s="6609"/>
      <c r="AB98" s="6609"/>
      <c r="AC98" s="6609"/>
      <c r="AD98" s="6609"/>
      <c r="AE98" s="6609"/>
      <c r="AF98" s="6610"/>
      <c r="AG98" s="6608" t="s">
        <v>583</v>
      </c>
      <c r="AH98" s="6609"/>
      <c r="AI98" s="6609"/>
      <c r="AJ98" s="6609"/>
      <c r="AK98" s="6609"/>
      <c r="AL98" s="6609"/>
      <c r="AM98" s="6609"/>
      <c r="AN98" s="6609"/>
      <c r="AO98" s="6609"/>
      <c r="AP98" s="6609"/>
      <c r="AQ98" s="6609"/>
      <c r="AR98" s="6608"/>
      <c r="AS98" s="6609"/>
      <c r="AT98" s="6609"/>
      <c r="AU98" s="6609"/>
      <c r="AV98" s="6609"/>
      <c r="AW98" s="6609"/>
      <c r="AX98" s="6609"/>
      <c r="AY98" s="6609"/>
      <c r="AZ98" s="6609"/>
      <c r="BA98" s="6609"/>
      <c r="BB98" s="6610"/>
      <c r="BC98" s="6608"/>
      <c r="BD98" s="6609"/>
      <c r="BE98" s="6609"/>
      <c r="BF98" s="6609"/>
      <c r="BG98" s="6609"/>
      <c r="BH98" s="6609"/>
      <c r="BI98" s="6609"/>
      <c r="BJ98" s="6609"/>
      <c r="BK98" s="6609"/>
      <c r="BL98" s="6609"/>
      <c r="BM98" s="6610"/>
      <c r="BN98" s="6608"/>
      <c r="BO98" s="6609"/>
      <c r="BP98" s="6609"/>
      <c r="BQ98" s="6609"/>
      <c r="BR98" s="6609"/>
      <c r="BS98" s="6609"/>
      <c r="BT98" s="6609"/>
      <c r="BU98" s="6609"/>
      <c r="BV98" s="6609"/>
      <c r="BW98" s="6609"/>
      <c r="BX98" s="6610"/>
      <c r="BY98" s="6608"/>
      <c r="BZ98" s="6609"/>
      <c r="CA98" s="6609"/>
      <c r="CB98" s="6609"/>
      <c r="CC98" s="6609"/>
      <c r="CD98" s="6609"/>
      <c r="CE98" s="6609"/>
      <c r="CF98" s="6609"/>
      <c r="CG98" s="6609"/>
      <c r="CH98" s="6609"/>
      <c r="CI98" s="6610"/>
      <c r="CJ98" s="6608"/>
      <c r="CK98" s="6609"/>
      <c r="CL98" s="6609"/>
      <c r="CM98" s="6609"/>
      <c r="CN98" s="6609"/>
      <c r="CO98" s="6609"/>
      <c r="CP98" s="6609"/>
      <c r="CQ98" s="6609"/>
      <c r="CR98" s="6609"/>
      <c r="CS98" s="6609"/>
      <c r="CT98" s="6610"/>
      <c r="CU98" s="6608"/>
      <c r="CV98" s="6609"/>
      <c r="CW98" s="6609"/>
      <c r="CX98" s="6609"/>
      <c r="CY98" s="6609"/>
      <c r="CZ98" s="6609"/>
      <c r="DA98" s="6609"/>
      <c r="DB98" s="6609"/>
      <c r="DC98" s="6609"/>
      <c r="DD98" s="6609"/>
      <c r="DE98" s="6610"/>
      <c r="DF98" s="6608"/>
      <c r="DG98" s="6609"/>
      <c r="DH98" s="6609"/>
      <c r="DI98" s="6609"/>
      <c r="DJ98" s="6609"/>
      <c r="DK98" s="6609"/>
      <c r="DL98" s="6609"/>
      <c r="DM98" s="6609"/>
      <c r="DN98" s="6609"/>
      <c r="DO98" s="6609"/>
      <c r="DP98" s="6610"/>
      <c r="DQ98" s="6608"/>
      <c r="DR98" s="6609"/>
      <c r="DS98" s="6609"/>
      <c r="DT98" s="6609"/>
      <c r="DU98" s="6609"/>
      <c r="DV98" s="6609"/>
      <c r="DW98" s="6609"/>
      <c r="DX98" s="6609"/>
      <c r="DY98" s="6609"/>
      <c r="DZ98" s="6609"/>
      <c r="EA98" s="6610"/>
      <c r="EB98" s="18884"/>
      <c r="EC98" s="18885"/>
      <c r="ED98" s="18885"/>
      <c r="EE98" s="18885"/>
      <c r="EF98" s="18885"/>
      <c r="EG98" s="18885"/>
      <c r="EH98" s="18885"/>
      <c r="EI98" s="18885"/>
      <c r="EJ98" s="18885"/>
      <c r="EK98" s="18885"/>
      <c r="EL98" s="18886"/>
      <c r="EM98" s="18884"/>
      <c r="EN98" s="18885"/>
      <c r="EO98" s="18885"/>
      <c r="EP98" s="18885"/>
      <c r="EQ98" s="18885"/>
      <c r="ER98" s="18885"/>
      <c r="ES98" s="18885"/>
      <c r="ET98" s="18885"/>
      <c r="EU98" s="18885"/>
      <c r="EV98" s="18885"/>
      <c r="EW98" s="18886"/>
      <c r="EX98" s="6610"/>
      <c r="EY98" s="7211" t="s">
        <v>524</v>
      </c>
      <c r="EZ98" s="6889"/>
      <c r="FA98" s="7194"/>
      <c r="FB98" s="7194" t="str">
        <f>IF(T98="","",T98)</f>
        <v>Группа потребителей</v>
      </c>
      <c r="FC98" s="7194"/>
      <c r="FD98" s="7194"/>
    </row>
    <row s="35063" customFormat="1" customHeight="1" ht="23.25">
      <c r="A99" s="7182"/>
      <c r="B99" s="7182"/>
      <c r="C99" s="7182"/>
      <c r="D99" s="7182"/>
      <c r="E99" s="7183"/>
      <c r="F99" s="7183" t="s">
        <v>102</v>
      </c>
      <c r="G99" s="7183"/>
      <c r="H99" s="7183"/>
      <c r="I99" s="7208"/>
      <c r="J99" s="7208"/>
      <c r="K99" s="7199" t="str">
        <f>J98&amp;".1"</f>
        <v>2.3.1.1.1.1</v>
      </c>
      <c r="L99" s="7185"/>
      <c r="M99" s="7200"/>
      <c r="N99" s="7200"/>
      <c r="O99" s="7200"/>
      <c r="P99" s="7201"/>
      <c r="Q99" s="7201"/>
      <c r="R99" s="7209">
        <v>1</v>
      </c>
      <c r="S99" s="7190" t="str">
        <f>$K99</f>
        <v>2.3.1.1.1.1</v>
      </c>
      <c r="T99" s="7213"/>
      <c r="U99" s="7192"/>
      <c r="V99" s="6611"/>
      <c r="W99" s="6611"/>
      <c r="X99" s="6611"/>
      <c r="Y99" s="6611"/>
      <c r="Z99" s="6611"/>
      <c r="AA99" s="6611"/>
      <c r="AB99" s="6611"/>
      <c r="AC99" s="6612"/>
      <c r="AD99" s="6613" t="s">
        <v>66</v>
      </c>
      <c r="AE99" s="6612"/>
      <c r="AF99" s="6613" t="s">
        <v>66</v>
      </c>
      <c r="AG99" s="6611">
        <v>45</v>
      </c>
      <c r="AH99" s="6611"/>
      <c r="AI99" s="6611"/>
      <c r="AJ99" s="6611"/>
      <c r="AK99" s="6611">
        <v>2801.9</v>
      </c>
      <c r="AL99" s="6611"/>
      <c r="AM99" s="6611"/>
      <c r="AN99" s="18891">
        <v>44896</v>
      </c>
      <c r="AO99" s="6613" t="s">
        <v>66</v>
      </c>
      <c r="AP99" s="19294">
        <v>45291</v>
      </c>
      <c r="AQ99" s="6613" t="s">
        <v>66</v>
      </c>
      <c r="AR99" s="6611">
        <v>0</v>
      </c>
      <c r="AS99" s="6611"/>
      <c r="AT99" s="6611"/>
      <c r="AU99" s="6611"/>
      <c r="AV99" s="6611">
        <v>2801.9</v>
      </c>
      <c r="AW99" s="6611"/>
      <c r="AX99" s="6611"/>
      <c r="AY99" s="18891">
        <v>45292</v>
      </c>
      <c r="AZ99" s="6613" t="s">
        <v>66</v>
      </c>
      <c r="BA99" s="18891">
        <v>45473</v>
      </c>
      <c r="BB99" s="6613" t="s">
        <v>66</v>
      </c>
      <c r="BC99" s="6611">
        <v>0</v>
      </c>
      <c r="BD99" s="6611"/>
      <c r="BE99" s="6611"/>
      <c r="BF99" s="6611"/>
      <c r="BG99" s="6611">
        <v>3146.53</v>
      </c>
      <c r="BH99" s="6611"/>
      <c r="BI99" s="6611"/>
      <c r="BJ99" s="18891">
        <v>45474</v>
      </c>
      <c r="BK99" s="6613" t="s">
        <v>66</v>
      </c>
      <c r="BL99" s="18891">
        <v>45657</v>
      </c>
      <c r="BM99" s="6613" t="s">
        <v>66</v>
      </c>
      <c r="BN99" s="6611">
        <v>0</v>
      </c>
      <c r="BO99" s="6611"/>
      <c r="BP99" s="6611"/>
      <c r="BQ99" s="6611"/>
      <c r="BR99" s="6611">
        <v>2933.59</v>
      </c>
      <c r="BS99" s="6611"/>
      <c r="BT99" s="6611"/>
      <c r="BU99" s="18891">
        <v>45658</v>
      </c>
      <c r="BV99" s="6613" t="s">
        <v>66</v>
      </c>
      <c r="BW99" s="18891">
        <v>45838</v>
      </c>
      <c r="BX99" s="6613" t="s">
        <v>66</v>
      </c>
      <c r="BY99" s="6611">
        <v>0</v>
      </c>
      <c r="BZ99" s="6611"/>
      <c r="CA99" s="6611"/>
      <c r="CB99" s="6611"/>
      <c r="CC99" s="6611">
        <v>3050.93</v>
      </c>
      <c r="CD99" s="6611"/>
      <c r="CE99" s="6611"/>
      <c r="CF99" s="18891">
        <v>45839</v>
      </c>
      <c r="CG99" s="6613" t="s">
        <v>66</v>
      </c>
      <c r="CH99" s="18891">
        <v>46022</v>
      </c>
      <c r="CI99" s="6613" t="s">
        <v>66</v>
      </c>
      <c r="CJ99" s="6611">
        <v>0</v>
      </c>
      <c r="CK99" s="6611"/>
      <c r="CL99" s="6611"/>
      <c r="CM99" s="6611"/>
      <c r="CN99" s="6611">
        <v>3050.93</v>
      </c>
      <c r="CO99" s="6611"/>
      <c r="CP99" s="6611"/>
      <c r="CQ99" s="18891">
        <v>46023</v>
      </c>
      <c r="CR99" s="6613" t="s">
        <v>66</v>
      </c>
      <c r="CS99" s="18891">
        <v>46203</v>
      </c>
      <c r="CT99" s="6613" t="s">
        <v>66</v>
      </c>
      <c r="CU99" s="6611">
        <v>0</v>
      </c>
      <c r="CV99" s="6611"/>
      <c r="CW99" s="6611"/>
      <c r="CX99" s="6611"/>
      <c r="CY99" s="6611">
        <v>3172.97</v>
      </c>
      <c r="CZ99" s="6611"/>
      <c r="DA99" s="6611"/>
      <c r="DB99" s="18891">
        <v>46204</v>
      </c>
      <c r="DC99" s="6613" t="s">
        <v>66</v>
      </c>
      <c r="DD99" s="18891">
        <v>46387</v>
      </c>
      <c r="DE99" s="6613" t="s">
        <v>66</v>
      </c>
      <c r="DF99" s="6611">
        <v>0</v>
      </c>
      <c r="DG99" s="6611"/>
      <c r="DH99" s="6611"/>
      <c r="DI99" s="6611"/>
      <c r="DJ99" s="6611">
        <v>3172.97</v>
      </c>
      <c r="DK99" s="6611"/>
      <c r="DL99" s="6611"/>
      <c r="DM99" s="18891">
        <v>46388</v>
      </c>
      <c r="DN99" s="6613" t="s">
        <v>66</v>
      </c>
      <c r="DO99" s="18891">
        <v>46568</v>
      </c>
      <c r="DP99" s="6613" t="s">
        <v>66</v>
      </c>
      <c r="DQ99" s="6611">
        <v>0</v>
      </c>
      <c r="DR99" s="6611"/>
      <c r="DS99" s="6611"/>
      <c r="DT99" s="6611"/>
      <c r="DU99" s="6611">
        <v>3299.89</v>
      </c>
      <c r="DV99" s="6611"/>
      <c r="DW99" s="6611"/>
      <c r="DX99" s="18891">
        <v>46569</v>
      </c>
      <c r="DY99" s="6613" t="s">
        <v>66</v>
      </c>
      <c r="DZ99" s="18891">
        <v>46752</v>
      </c>
      <c r="EA99" s="6613" t="s">
        <v>66</v>
      </c>
      <c r="EB99" s="18890">
        <v>0</v>
      </c>
      <c r="EC99" s="18890"/>
      <c r="ED99" s="18890"/>
      <c r="EE99" s="18890"/>
      <c r="EF99" s="18890">
        <v>3299.89</v>
      </c>
      <c r="EG99" s="18890"/>
      <c r="EH99" s="18890"/>
      <c r="EI99" s="18891">
        <v>46753</v>
      </c>
      <c r="EJ99" s="18892" t="s">
        <v>66</v>
      </c>
      <c r="EK99" s="18891">
        <v>46934</v>
      </c>
      <c r="EL99" s="18892" t="s">
        <v>66</v>
      </c>
      <c r="EM99" s="18890">
        <v>0</v>
      </c>
      <c r="EN99" s="18890"/>
      <c r="EO99" s="18890"/>
      <c r="EP99" s="18890"/>
      <c r="EQ99" s="18890">
        <v>3431.89</v>
      </c>
      <c r="ER99" s="18890"/>
      <c r="ES99" s="18890"/>
      <c r="ET99" s="18891">
        <v>46935</v>
      </c>
      <c r="EU99" s="18892" t="s">
        <v>66</v>
      </c>
      <c r="EV99" s="18891">
        <v>47118</v>
      </c>
      <c r="EW99" s="18892" t="s">
        <v>66</v>
      </c>
      <c r="EX99" s="7214"/>
      <c r="EY99" s="72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Z99" s="6889">
        <f>STRCHECKDATE(V100:EX100)</f>
      </c>
      <c r="FA99" s="7194"/>
      <c r="FB99" s="7194" t="str">
        <f>IF(T99="","",T99)</f>
        <v/>
      </c>
      <c r="FC99" s="7194"/>
      <c r="FD99" s="7194"/>
    </row>
    <row s="35064" customFormat="1" customHeight="1" ht="14.25">
      <c r="A100" s="7182"/>
      <c r="B100" s="7182"/>
      <c r="C100" s="7182"/>
      <c r="D100" s="7182"/>
      <c r="E100" s="7183"/>
      <c r="F100" s="7183" t="s">
        <v>102</v>
      </c>
      <c r="G100" s="7183"/>
      <c r="H100" s="7183"/>
      <c r="I100" s="7208"/>
      <c r="J100" s="7208"/>
      <c r="K100" s="7199"/>
      <c r="L100" s="7185"/>
      <c r="M100" s="7200"/>
      <c r="N100" s="7200"/>
      <c r="O100" s="7200"/>
      <c r="P100" s="7201"/>
      <c r="Q100" s="7201"/>
      <c r="R100" s="7209"/>
      <c r="S100" s="7217"/>
      <c r="T100" s="7192"/>
      <c r="U100" s="7192"/>
      <c r="V100" s="6614"/>
      <c r="W100" s="6614"/>
      <c r="X100" s="6614"/>
      <c r="Y100" s="6614"/>
      <c r="Z100" s="6614"/>
      <c r="AA100" s="6614"/>
      <c r="AB100" s="6614"/>
      <c r="AC100" s="6615"/>
      <c r="AD100" s="6613"/>
      <c r="AE100" s="6615"/>
      <c r="AF100" s="6613"/>
      <c r="AG100" s="6614"/>
      <c r="AH100" s="6614"/>
      <c r="AI100" s="6614"/>
      <c r="AJ100" s="6614"/>
      <c r="AK100" s="6614"/>
      <c r="AL100" s="6614"/>
      <c r="AM100" s="6614"/>
      <c r="AN100" s="6615"/>
      <c r="AO100" s="6613"/>
      <c r="AP100" s="6916"/>
      <c r="AQ100" s="6613"/>
      <c r="AR100" s="6614"/>
      <c r="AS100" s="6614"/>
      <c r="AT100" s="6614"/>
      <c r="AU100" s="6614"/>
      <c r="AV100" s="6614"/>
      <c r="AW100" s="6614"/>
      <c r="AX100" s="6614"/>
      <c r="AY100" s="6615"/>
      <c r="AZ100" s="6613"/>
      <c r="BA100" s="6615"/>
      <c r="BB100" s="6613"/>
      <c r="BC100" s="6614"/>
      <c r="BD100" s="6614"/>
      <c r="BE100" s="6614"/>
      <c r="BF100" s="6614"/>
      <c r="BG100" s="6614"/>
      <c r="BH100" s="6614"/>
      <c r="BI100" s="6614"/>
      <c r="BJ100" s="6615"/>
      <c r="BK100" s="6613"/>
      <c r="BL100" s="6615"/>
      <c r="BM100" s="6613"/>
      <c r="BN100" s="6614"/>
      <c r="BO100" s="6614"/>
      <c r="BP100" s="6614"/>
      <c r="BQ100" s="6614"/>
      <c r="BR100" s="6614"/>
      <c r="BS100" s="6614"/>
      <c r="BT100" s="6614"/>
      <c r="BU100" s="6615"/>
      <c r="BV100" s="6613"/>
      <c r="BW100" s="6615"/>
      <c r="BX100" s="6613"/>
      <c r="BY100" s="6614"/>
      <c r="BZ100" s="6614"/>
      <c r="CA100" s="6614"/>
      <c r="CB100" s="6614"/>
      <c r="CC100" s="6614"/>
      <c r="CD100" s="6614"/>
      <c r="CE100" s="6614"/>
      <c r="CF100" s="6615"/>
      <c r="CG100" s="6613"/>
      <c r="CH100" s="6615"/>
      <c r="CI100" s="6613"/>
      <c r="CJ100" s="6614"/>
      <c r="CK100" s="6614"/>
      <c r="CL100" s="6614"/>
      <c r="CM100" s="6614"/>
      <c r="CN100" s="6614"/>
      <c r="CO100" s="6614"/>
      <c r="CP100" s="6614"/>
      <c r="CQ100" s="6615"/>
      <c r="CR100" s="6613"/>
      <c r="CS100" s="6615"/>
      <c r="CT100" s="6613"/>
      <c r="CU100" s="6614"/>
      <c r="CV100" s="6614"/>
      <c r="CW100" s="6614"/>
      <c r="CX100" s="6614"/>
      <c r="CY100" s="6614"/>
      <c r="CZ100" s="6614"/>
      <c r="DA100" s="6614"/>
      <c r="DB100" s="6615"/>
      <c r="DC100" s="6613"/>
      <c r="DD100" s="6615"/>
      <c r="DE100" s="6613"/>
      <c r="DF100" s="6614"/>
      <c r="DG100" s="6614"/>
      <c r="DH100" s="6614"/>
      <c r="DI100" s="6614"/>
      <c r="DJ100" s="6614"/>
      <c r="DK100" s="6614"/>
      <c r="DL100" s="6614"/>
      <c r="DM100" s="6615"/>
      <c r="DN100" s="6613"/>
      <c r="DO100" s="6615"/>
      <c r="DP100" s="6613"/>
      <c r="DQ100" s="6614"/>
      <c r="DR100" s="6614"/>
      <c r="DS100" s="6614"/>
      <c r="DT100" s="6614"/>
      <c r="DU100" s="6614"/>
      <c r="DV100" s="6614"/>
      <c r="DW100" s="6614"/>
      <c r="DX100" s="6615"/>
      <c r="DY100" s="6613"/>
      <c r="DZ100" s="6615"/>
      <c r="EA100" s="6613"/>
      <c r="EB100" s="18895"/>
      <c r="EC100" s="18895"/>
      <c r="ED100" s="18895"/>
      <c r="EE100" s="18895"/>
      <c r="EF100" s="18895"/>
      <c r="EG100" s="18895"/>
      <c r="EH100" s="18895"/>
      <c r="EI100" s="18896"/>
      <c r="EJ100" s="18892"/>
      <c r="EK100" s="18896"/>
      <c r="EL100" s="18892"/>
      <c r="EM100" s="18895"/>
      <c r="EN100" s="18895"/>
      <c r="EO100" s="18895"/>
      <c r="EP100" s="18895"/>
      <c r="EQ100" s="18895"/>
      <c r="ER100" s="18895"/>
      <c r="ES100" s="18895"/>
      <c r="ET100" s="18896"/>
      <c r="EU100" s="18892"/>
      <c r="EV100" s="18896"/>
      <c r="EW100" s="18892"/>
      <c r="EX100" s="7218"/>
      <c r="EY100" s="7215"/>
      <c r="EZ100" s="6889"/>
      <c r="FA100" s="7194"/>
      <c r="FB100" s="7194" t="str">
        <f>IF(T100="","",T100)</f>
        <v/>
      </c>
      <c r="FC100" s="7194"/>
      <c r="FD100" s="7194"/>
    </row>
    <row s="35065" customFormat="1" customHeight="1" ht="21">
      <c r="A101" s="7182"/>
      <c r="B101" s="7182"/>
      <c r="C101" s="7182"/>
      <c r="D101" s="7182"/>
      <c r="E101" s="7183"/>
      <c r="F101" s="7183" t="s">
        <v>102</v>
      </c>
      <c r="G101" s="7183"/>
      <c r="H101" s="7183"/>
      <c r="I101" s="7208"/>
      <c r="J101" s="7199"/>
      <c r="K101" s="7182"/>
      <c r="L101" s="7185"/>
      <c r="M101" s="7200"/>
      <c r="N101" s="7200"/>
      <c r="O101" s="7200"/>
      <c r="P101" s="7201"/>
      <c r="Q101" s="7201"/>
      <c r="R101" s="7202"/>
      <c r="S101" s="8649"/>
      <c r="T101" s="8650" t="s">
        <v>525</v>
      </c>
      <c r="U101" s="8651"/>
      <c r="V101" s="8652"/>
      <c r="W101" s="8653"/>
      <c r="X101" s="8654"/>
      <c r="Y101" s="8655"/>
      <c r="Z101" s="8656"/>
      <c r="AA101" s="8657"/>
      <c r="AB101" s="8658"/>
      <c r="AC101" s="8659"/>
      <c r="AD101" s="8660"/>
      <c r="AE101" s="8661"/>
      <c r="AF101" s="8662"/>
      <c r="AG101" s="8663"/>
      <c r="AH101" s="8664"/>
      <c r="AI101" s="8665"/>
      <c r="AJ101" s="8666"/>
      <c r="AK101" s="8667"/>
      <c r="AL101" s="8668"/>
      <c r="AM101" s="8669"/>
      <c r="AN101" s="8670"/>
      <c r="AO101" s="8671"/>
      <c r="AP101" s="8672"/>
      <c r="AQ101" s="8673"/>
      <c r="AR101" s="8674"/>
      <c r="AS101" s="8675"/>
      <c r="AT101" s="8676"/>
      <c r="AU101" s="8677"/>
      <c r="AV101" s="8678"/>
      <c r="AW101" s="8679"/>
      <c r="AX101" s="8680"/>
      <c r="AY101" s="8681"/>
      <c r="AZ101" s="8682"/>
      <c r="BA101" s="8683"/>
      <c r="BB101" s="8684"/>
      <c r="BC101" s="8685"/>
      <c r="BD101" s="8686"/>
      <c r="BE101" s="8687"/>
      <c r="BF101" s="8688"/>
      <c r="BG101" s="8689"/>
      <c r="BH101" s="8690"/>
      <c r="BI101" s="8691"/>
      <c r="BJ101" s="8692"/>
      <c r="BK101" s="8693"/>
      <c r="BL101" s="8694"/>
      <c r="BM101" s="8695"/>
      <c r="BN101" s="8696"/>
      <c r="BO101" s="8697"/>
      <c r="BP101" s="8698"/>
      <c r="BQ101" s="8699"/>
      <c r="BR101" s="8700"/>
      <c r="BS101" s="8701"/>
      <c r="BT101" s="8702"/>
      <c r="BU101" s="8703"/>
      <c r="BV101" s="8704"/>
      <c r="BW101" s="8705"/>
      <c r="BX101" s="8706"/>
      <c r="BY101" s="8707"/>
      <c r="BZ101" s="8708"/>
      <c r="CA101" s="8709"/>
      <c r="CB101" s="8710"/>
      <c r="CC101" s="8711"/>
      <c r="CD101" s="8712"/>
      <c r="CE101" s="8713"/>
      <c r="CF101" s="8714"/>
      <c r="CG101" s="8715"/>
      <c r="CH101" s="8716"/>
      <c r="CI101" s="8717"/>
      <c r="CJ101" s="8718"/>
      <c r="CK101" s="8719"/>
      <c r="CL101" s="8720"/>
      <c r="CM101" s="8721"/>
      <c r="CN101" s="8722"/>
      <c r="CO101" s="8723"/>
      <c r="CP101" s="8724"/>
      <c r="CQ101" s="8725"/>
      <c r="CR101" s="8726"/>
      <c r="CS101" s="8727"/>
      <c r="CT101" s="8728"/>
      <c r="CU101" s="8729"/>
      <c r="CV101" s="8730"/>
      <c r="CW101" s="8731"/>
      <c r="CX101" s="8732"/>
      <c r="CY101" s="8733"/>
      <c r="CZ101" s="8734"/>
      <c r="DA101" s="8735"/>
      <c r="DB101" s="8736"/>
      <c r="DC101" s="8737"/>
      <c r="DD101" s="8738"/>
      <c r="DE101" s="8739"/>
      <c r="DF101" s="8740"/>
      <c r="DG101" s="8741"/>
      <c r="DH101" s="8742"/>
      <c r="DI101" s="8743"/>
      <c r="DJ101" s="8744"/>
      <c r="DK101" s="8745"/>
      <c r="DL101" s="8746"/>
      <c r="DM101" s="8747"/>
      <c r="DN101" s="8748"/>
      <c r="DO101" s="8749"/>
      <c r="DP101" s="8750"/>
      <c r="DQ101" s="8751"/>
      <c r="DR101" s="8752"/>
      <c r="DS101" s="8753"/>
      <c r="DT101" s="8754"/>
      <c r="DU101" s="8755"/>
      <c r="DV101" s="8756"/>
      <c r="DW101" s="8757"/>
      <c r="DX101" s="8758"/>
      <c r="DY101" s="8759"/>
      <c r="DZ101" s="8760"/>
      <c r="EA101" s="8761"/>
      <c r="EB101" s="21472"/>
      <c r="EC101" s="21473"/>
      <c r="ED101" s="21474"/>
      <c r="EE101" s="21475"/>
      <c r="EF101" s="21476"/>
      <c r="EG101" s="21477"/>
      <c r="EH101" s="21478"/>
      <c r="EI101" s="21479"/>
      <c r="EJ101" s="21480"/>
      <c r="EK101" s="21481"/>
      <c r="EL101" s="21482"/>
      <c r="EM101" s="21483"/>
      <c r="EN101" s="21484"/>
      <c r="EO101" s="21485"/>
      <c r="EP101" s="21486"/>
      <c r="EQ101" s="21487"/>
      <c r="ER101" s="21488"/>
      <c r="ES101" s="21489"/>
      <c r="ET101" s="21490"/>
      <c r="EU101" s="21491"/>
      <c r="EV101" s="21492"/>
      <c r="EW101" s="21493"/>
      <c r="EX101" s="8762"/>
      <c r="EY101" s="7193" t="s">
        <v>526</v>
      </c>
      <c r="EZ101" s="6889"/>
      <c r="FA101" s="7194"/>
      <c r="FB101" s="7194" t="str">
        <f>IF(T101="","",T101)</f>
        <v>Добавить значение признака дифференциации</v>
      </c>
      <c r="FC101" s="7194"/>
      <c r="FD101" s="7194"/>
    </row>
    <row s="35202" customFormat="1" customHeight="1" ht="21">
      <c r="A102" s="7182"/>
      <c r="B102" s="7182"/>
      <c r="C102" s="7182"/>
      <c r="D102" s="7182"/>
      <c r="E102" s="7183"/>
      <c r="F102" s="7183" t="s">
        <v>102</v>
      </c>
      <c r="G102" s="7183"/>
      <c r="H102" s="7183"/>
      <c r="I102" s="7199"/>
      <c r="J102" s="7182"/>
      <c r="K102" s="7182"/>
      <c r="L102" s="7185"/>
      <c r="M102" s="7200"/>
      <c r="N102" s="7200"/>
      <c r="O102" s="7200"/>
      <c r="P102" s="7201"/>
      <c r="Q102" s="7201"/>
      <c r="R102" s="7202"/>
      <c r="S102" s="8764"/>
      <c r="T102" s="8765" t="s">
        <v>453</v>
      </c>
      <c r="U102" s="8766"/>
      <c r="V102" s="8767"/>
      <c r="W102" s="8768"/>
      <c r="X102" s="8769"/>
      <c r="Y102" s="8770"/>
      <c r="Z102" s="8771"/>
      <c r="AA102" s="8772"/>
      <c r="AB102" s="8773"/>
      <c r="AC102" s="8774"/>
      <c r="AD102" s="8775"/>
      <c r="AE102" s="8776"/>
      <c r="AF102" s="8777"/>
      <c r="AG102" s="8778"/>
      <c r="AH102" s="8779"/>
      <c r="AI102" s="8780"/>
      <c r="AJ102" s="8781"/>
      <c r="AK102" s="8782"/>
      <c r="AL102" s="8783"/>
      <c r="AM102" s="8784"/>
      <c r="AN102" s="8785"/>
      <c r="AO102" s="8786"/>
      <c r="AP102" s="8787"/>
      <c r="AQ102" s="8788"/>
      <c r="AR102" s="8789"/>
      <c r="AS102" s="8790"/>
      <c r="AT102" s="8791"/>
      <c r="AU102" s="8792"/>
      <c r="AV102" s="8793"/>
      <c r="AW102" s="8794"/>
      <c r="AX102" s="8795"/>
      <c r="AY102" s="8796"/>
      <c r="AZ102" s="8797"/>
      <c r="BA102" s="8798"/>
      <c r="BB102" s="8799"/>
      <c r="BC102" s="8800"/>
      <c r="BD102" s="8801"/>
      <c r="BE102" s="8802"/>
      <c r="BF102" s="8803"/>
      <c r="BG102" s="8804"/>
      <c r="BH102" s="8805"/>
      <c r="BI102" s="8806"/>
      <c r="BJ102" s="8807"/>
      <c r="BK102" s="8808"/>
      <c r="BL102" s="8809"/>
      <c r="BM102" s="8810"/>
      <c r="BN102" s="8811"/>
      <c r="BO102" s="8812"/>
      <c r="BP102" s="8813"/>
      <c r="BQ102" s="8814"/>
      <c r="BR102" s="8815"/>
      <c r="BS102" s="8816"/>
      <c r="BT102" s="8817"/>
      <c r="BU102" s="8818"/>
      <c r="BV102" s="8819"/>
      <c r="BW102" s="8820"/>
      <c r="BX102" s="8821"/>
      <c r="BY102" s="8822"/>
      <c r="BZ102" s="8823"/>
      <c r="CA102" s="8824"/>
      <c r="CB102" s="8825"/>
      <c r="CC102" s="8826"/>
      <c r="CD102" s="8827"/>
      <c r="CE102" s="8828"/>
      <c r="CF102" s="8829"/>
      <c r="CG102" s="8830"/>
      <c r="CH102" s="8831"/>
      <c r="CI102" s="8832"/>
      <c r="CJ102" s="8833"/>
      <c r="CK102" s="8834"/>
      <c r="CL102" s="8835"/>
      <c r="CM102" s="8836"/>
      <c r="CN102" s="8837"/>
      <c r="CO102" s="8838"/>
      <c r="CP102" s="8839"/>
      <c r="CQ102" s="8840"/>
      <c r="CR102" s="8841"/>
      <c r="CS102" s="8842"/>
      <c r="CT102" s="8843"/>
      <c r="CU102" s="8844"/>
      <c r="CV102" s="8845"/>
      <c r="CW102" s="8846"/>
      <c r="CX102" s="8847"/>
      <c r="CY102" s="8848"/>
      <c r="CZ102" s="8849"/>
      <c r="DA102" s="8850"/>
      <c r="DB102" s="8851"/>
      <c r="DC102" s="8852"/>
      <c r="DD102" s="8853"/>
      <c r="DE102" s="8854"/>
      <c r="DF102" s="8855"/>
      <c r="DG102" s="8856"/>
      <c r="DH102" s="8857"/>
      <c r="DI102" s="8858"/>
      <c r="DJ102" s="8859"/>
      <c r="DK102" s="8860"/>
      <c r="DL102" s="8861"/>
      <c r="DM102" s="8862"/>
      <c r="DN102" s="8863"/>
      <c r="DO102" s="8864"/>
      <c r="DP102" s="8865"/>
      <c r="DQ102" s="8866"/>
      <c r="DR102" s="8867"/>
      <c r="DS102" s="8868"/>
      <c r="DT102" s="8869"/>
      <c r="DU102" s="8870"/>
      <c r="DV102" s="8871"/>
      <c r="DW102" s="8872"/>
      <c r="DX102" s="8873"/>
      <c r="DY102" s="8874"/>
      <c r="DZ102" s="8875"/>
      <c r="EA102" s="8876"/>
      <c r="EB102" s="21609"/>
      <c r="EC102" s="21610"/>
      <c r="ED102" s="21611"/>
      <c r="EE102" s="21612"/>
      <c r="EF102" s="21613"/>
      <c r="EG102" s="21614"/>
      <c r="EH102" s="21615"/>
      <c r="EI102" s="21616"/>
      <c r="EJ102" s="21617"/>
      <c r="EK102" s="21618"/>
      <c r="EL102" s="21619"/>
      <c r="EM102" s="21620"/>
      <c r="EN102" s="21621"/>
      <c r="EO102" s="21622"/>
      <c r="EP102" s="21623"/>
      <c r="EQ102" s="21624"/>
      <c r="ER102" s="21625"/>
      <c r="ES102" s="21626"/>
      <c r="ET102" s="21627"/>
      <c r="EU102" s="21628"/>
      <c r="EV102" s="21629"/>
      <c r="EW102" s="21630"/>
      <c r="EX102" s="8877"/>
      <c r="EY102" s="8878"/>
      <c r="EZ102" s="6889"/>
      <c r="FA102" s="7194"/>
      <c r="FB102" s="7194" t="str">
        <f>IF(T102="","",T102)</f>
        <v>Добавить группу потребителей</v>
      </c>
      <c r="FC102" s="7194"/>
      <c r="FD102" s="7194"/>
    </row>
    <row s="35340" customFormat="1" customHeight="1" ht="21">
      <c r="A103" s="7182"/>
      <c r="B103" s="7182"/>
      <c r="C103" s="7182"/>
      <c r="D103" s="7182"/>
      <c r="E103" s="7183"/>
      <c r="F103" s="7183" t="s">
        <v>102</v>
      </c>
      <c r="G103" s="7183"/>
      <c r="H103" s="7184"/>
      <c r="I103" s="7182"/>
      <c r="J103" s="7182"/>
      <c r="K103" s="7182"/>
      <c r="L103" s="7185"/>
      <c r="M103" s="7186"/>
      <c r="N103" s="7186"/>
      <c r="O103" s="6881"/>
      <c r="P103" s="7451"/>
      <c r="Q103" s="7452"/>
      <c r="R103" s="7453"/>
      <c r="S103" s="8880"/>
      <c r="T103" s="8881" t="s">
        <v>527</v>
      </c>
      <c r="U103" s="8882"/>
      <c r="V103" s="8883"/>
      <c r="W103" s="8884"/>
      <c r="X103" s="8885"/>
      <c r="Y103" s="8886"/>
      <c r="Z103" s="8887"/>
      <c r="AA103" s="8888"/>
      <c r="AB103" s="8889"/>
      <c r="AC103" s="8890"/>
      <c r="AD103" s="8891"/>
      <c r="AE103" s="8892"/>
      <c r="AF103" s="8893"/>
      <c r="AG103" s="8894"/>
      <c r="AH103" s="8895"/>
      <c r="AI103" s="8896"/>
      <c r="AJ103" s="8897"/>
      <c r="AK103" s="8898"/>
      <c r="AL103" s="8899"/>
      <c r="AM103" s="8900"/>
      <c r="AN103" s="8901"/>
      <c r="AO103" s="8902"/>
      <c r="AP103" s="8903"/>
      <c r="AQ103" s="8904"/>
      <c r="AR103" s="8905"/>
      <c r="AS103" s="8906"/>
      <c r="AT103" s="8907"/>
      <c r="AU103" s="8908"/>
      <c r="AV103" s="8909"/>
      <c r="AW103" s="8910"/>
      <c r="AX103" s="8911"/>
      <c r="AY103" s="8912"/>
      <c r="AZ103" s="8913"/>
      <c r="BA103" s="8914"/>
      <c r="BB103" s="8915"/>
      <c r="BC103" s="8916"/>
      <c r="BD103" s="8917"/>
      <c r="BE103" s="8918"/>
      <c r="BF103" s="8919"/>
      <c r="BG103" s="8920"/>
      <c r="BH103" s="8921"/>
      <c r="BI103" s="8922"/>
      <c r="BJ103" s="8923"/>
      <c r="BK103" s="8924"/>
      <c r="BL103" s="8925"/>
      <c r="BM103" s="8926"/>
      <c r="BN103" s="8927"/>
      <c r="BO103" s="8928"/>
      <c r="BP103" s="8929"/>
      <c r="BQ103" s="8930"/>
      <c r="BR103" s="8931"/>
      <c r="BS103" s="8932"/>
      <c r="BT103" s="8933"/>
      <c r="BU103" s="8934"/>
      <c r="BV103" s="8935"/>
      <c r="BW103" s="8936"/>
      <c r="BX103" s="8937"/>
      <c r="BY103" s="8938"/>
      <c r="BZ103" s="8939"/>
      <c r="CA103" s="8940"/>
      <c r="CB103" s="8941"/>
      <c r="CC103" s="8942"/>
      <c r="CD103" s="8943"/>
      <c r="CE103" s="8944"/>
      <c r="CF103" s="8945"/>
      <c r="CG103" s="8946"/>
      <c r="CH103" s="8947"/>
      <c r="CI103" s="8948"/>
      <c r="CJ103" s="8949"/>
      <c r="CK103" s="8950"/>
      <c r="CL103" s="8951"/>
      <c r="CM103" s="8952"/>
      <c r="CN103" s="8953"/>
      <c r="CO103" s="8954"/>
      <c r="CP103" s="8955"/>
      <c r="CQ103" s="8956"/>
      <c r="CR103" s="8957"/>
      <c r="CS103" s="8958"/>
      <c r="CT103" s="8959"/>
      <c r="CU103" s="8960"/>
      <c r="CV103" s="8961"/>
      <c r="CW103" s="8962"/>
      <c r="CX103" s="8963"/>
      <c r="CY103" s="8964"/>
      <c r="CZ103" s="8965"/>
      <c r="DA103" s="8966"/>
      <c r="DB103" s="8967"/>
      <c r="DC103" s="8968"/>
      <c r="DD103" s="8969"/>
      <c r="DE103" s="8970"/>
      <c r="DF103" s="8971"/>
      <c r="DG103" s="8972"/>
      <c r="DH103" s="8973"/>
      <c r="DI103" s="8974"/>
      <c r="DJ103" s="8975"/>
      <c r="DK103" s="8976"/>
      <c r="DL103" s="8977"/>
      <c r="DM103" s="8978"/>
      <c r="DN103" s="8979"/>
      <c r="DO103" s="8980"/>
      <c r="DP103" s="8981"/>
      <c r="DQ103" s="8982"/>
      <c r="DR103" s="8983"/>
      <c r="DS103" s="8984"/>
      <c r="DT103" s="8985"/>
      <c r="DU103" s="8986"/>
      <c r="DV103" s="8987"/>
      <c r="DW103" s="8988"/>
      <c r="DX103" s="8989"/>
      <c r="DY103" s="8990"/>
      <c r="DZ103" s="8991"/>
      <c r="EA103" s="8992"/>
      <c r="EB103" s="21747"/>
      <c r="EC103" s="21748"/>
      <c r="ED103" s="21749"/>
      <c r="EE103" s="21750"/>
      <c r="EF103" s="21751"/>
      <c r="EG103" s="21752"/>
      <c r="EH103" s="21753"/>
      <c r="EI103" s="21754"/>
      <c r="EJ103" s="21755"/>
      <c r="EK103" s="21756"/>
      <c r="EL103" s="21757"/>
      <c r="EM103" s="21758"/>
      <c r="EN103" s="21759"/>
      <c r="EO103" s="21760"/>
      <c r="EP103" s="21761"/>
      <c r="EQ103" s="21762"/>
      <c r="ER103" s="21763"/>
      <c r="ES103" s="21764"/>
      <c r="ET103" s="21765"/>
      <c r="EU103" s="21766"/>
      <c r="EV103" s="21767"/>
      <c r="EW103" s="21768"/>
      <c r="EX103" s="8993"/>
      <c r="EY103" s="8994"/>
      <c r="EZ103" s="6889"/>
      <c r="FA103" s="7194"/>
      <c r="FB103" s="7194" t="str">
        <f>IF(T103="","",T103)</f>
        <v>Добавить наименование признака дифференциации</v>
      </c>
      <c r="FC103" s="7194"/>
      <c r="FD103" s="7194"/>
    </row>
    <row s="35478" customFormat="1" customHeight="1" ht="14.25">
      <c r="A104" s="7570"/>
      <c r="B104" s="7570"/>
      <c r="C104" s="7570"/>
      <c r="D104" s="7570"/>
      <c r="E104" s="7183"/>
      <c r="F104" s="7184" t="s">
        <v>102</v>
      </c>
      <c r="G104" s="7570"/>
      <c r="H104" s="7570"/>
      <c r="I104" s="7570"/>
      <c r="J104" s="7570"/>
      <c r="K104" s="7570"/>
      <c r="L104" s="7571"/>
      <c r="M104" s="7572"/>
      <c r="N104" s="7572"/>
      <c r="O104" s="6889"/>
      <c r="P104" s="7573"/>
      <c r="Q104" s="7574"/>
      <c r="R104" s="7573"/>
      <c r="S104" s="7575"/>
      <c r="T104" s="7576" t="s">
        <v>262</v>
      </c>
      <c r="U104" s="6880"/>
      <c r="V104" s="6880"/>
      <c r="W104" s="6880"/>
      <c r="X104" s="6880"/>
      <c r="Y104" s="6880"/>
      <c r="Z104" s="6880"/>
      <c r="AA104" s="6880"/>
      <c r="AB104" s="6880"/>
      <c r="AC104" s="6880"/>
      <c r="AD104" s="6880"/>
      <c r="AE104" s="6880"/>
      <c r="AF104" s="6880"/>
      <c r="AG104" s="6880"/>
      <c r="AH104" s="6880"/>
      <c r="AI104" s="6880"/>
      <c r="AJ104" s="6880"/>
      <c r="AK104" s="6880"/>
      <c r="AL104" s="6880"/>
      <c r="AM104" s="6880"/>
      <c r="AN104" s="6880"/>
      <c r="AO104" s="6880"/>
      <c r="AP104" s="6880"/>
      <c r="AQ104" s="6880"/>
      <c r="AR104" s="6880"/>
      <c r="AS104" s="6880"/>
      <c r="AT104" s="6880"/>
      <c r="AU104" s="6880"/>
      <c r="AV104" s="6880"/>
      <c r="AW104" s="6880"/>
      <c r="AX104" s="6880"/>
      <c r="AY104" s="6880"/>
      <c r="AZ104" s="6880"/>
      <c r="BA104" s="6880"/>
      <c r="BB104" s="6880"/>
      <c r="BC104" s="6880"/>
      <c r="BD104" s="6880"/>
      <c r="BE104" s="6880"/>
      <c r="BF104" s="6880"/>
      <c r="BG104" s="6880"/>
      <c r="BH104" s="6880"/>
      <c r="BI104" s="6880"/>
      <c r="BJ104" s="6880"/>
      <c r="BK104" s="6880"/>
      <c r="BL104" s="6880"/>
      <c r="BM104" s="6880"/>
      <c r="BN104" s="6880"/>
      <c r="BO104" s="6880"/>
      <c r="BP104" s="6880"/>
      <c r="BQ104" s="6880"/>
      <c r="BR104" s="6880"/>
      <c r="BS104" s="6880"/>
      <c r="BT104" s="6880"/>
      <c r="BU104" s="6880"/>
      <c r="BV104" s="6880"/>
      <c r="BW104" s="6880"/>
      <c r="BX104" s="6880"/>
      <c r="BY104" s="6880"/>
      <c r="BZ104" s="6880"/>
      <c r="CA104" s="6880"/>
      <c r="CB104" s="6880"/>
      <c r="CC104" s="6880"/>
      <c r="CD104" s="6880"/>
      <c r="CE104" s="6880"/>
      <c r="CF104" s="6880"/>
      <c r="CG104" s="6880"/>
      <c r="CH104" s="6880"/>
      <c r="CI104" s="6880"/>
      <c r="CJ104" s="6880"/>
      <c r="CK104" s="6880"/>
      <c r="CL104" s="6880"/>
      <c r="CM104" s="6880"/>
      <c r="CN104" s="6880"/>
      <c r="CO104" s="6880"/>
      <c r="CP104" s="6880"/>
      <c r="CQ104" s="6880"/>
      <c r="CR104" s="6880"/>
      <c r="CS104" s="6880"/>
      <c r="CT104" s="6880"/>
      <c r="CU104" s="6880"/>
      <c r="CV104" s="6880"/>
      <c r="CW104" s="6880"/>
      <c r="CX104" s="6880"/>
      <c r="CY104" s="6880"/>
      <c r="CZ104" s="6880"/>
      <c r="DA104" s="6880"/>
      <c r="DB104" s="6880"/>
      <c r="DC104" s="6880"/>
      <c r="DD104" s="6880"/>
      <c r="DE104" s="6880"/>
      <c r="DF104" s="6880"/>
      <c r="DG104" s="6880"/>
      <c r="DH104" s="6880"/>
      <c r="DI104" s="6880"/>
      <c r="DJ104" s="6880"/>
      <c r="DK104" s="6880"/>
      <c r="DL104" s="6880"/>
      <c r="DM104" s="6880"/>
      <c r="DN104" s="6880"/>
      <c r="DO104" s="6880"/>
      <c r="DP104" s="6880"/>
      <c r="DQ104" s="6880"/>
      <c r="DR104" s="6880"/>
      <c r="DS104" s="6880"/>
      <c r="DT104" s="6880"/>
      <c r="DU104" s="6880"/>
      <c r="DV104" s="6880"/>
      <c r="DW104" s="6880"/>
      <c r="DX104" s="6880"/>
      <c r="DY104" s="6880"/>
      <c r="DZ104" s="6880"/>
      <c r="EA104" s="6880"/>
      <c r="EB104" s="19228"/>
      <c r="EC104" s="19228"/>
      <c r="ED104" s="19228"/>
      <c r="EE104" s="19228"/>
      <c r="EF104" s="19228"/>
      <c r="EG104" s="19228"/>
      <c r="EH104" s="19228"/>
      <c r="EI104" s="19228"/>
      <c r="EJ104" s="19228"/>
      <c r="EK104" s="19228"/>
      <c r="EL104" s="19228"/>
      <c r="EM104" s="19228"/>
      <c r="EN104" s="19228"/>
      <c r="EO104" s="19228"/>
      <c r="EP104" s="19228"/>
      <c r="EQ104" s="19228"/>
      <c r="ER104" s="19228"/>
      <c r="ES104" s="19228"/>
      <c r="ET104" s="19228"/>
      <c r="EU104" s="19228"/>
      <c r="EV104" s="19228"/>
      <c r="EW104" s="19228"/>
      <c r="EX104" s="6880"/>
      <c r="EY104" s="6880"/>
      <c r="EZ104" s="6889"/>
      <c r="FA104" s="7194"/>
      <c r="FB104" s="7194" t="str">
        <f>IF(T104="","",T104)</f>
        <v>Добавить централизованную систему для дифференциации</v>
      </c>
      <c r="FC104" s="7194"/>
      <c r="FD104" s="7194"/>
    </row>
    <row s="35479" customFormat="1" customHeight="1" ht="14.25">
      <c r="A105" s="7570"/>
      <c r="B105" s="7570"/>
      <c r="C105" s="7570"/>
      <c r="D105" s="7570"/>
      <c r="E105" s="7184">
        <v>1</v>
      </c>
      <c r="F105" s="7570"/>
      <c r="G105" s="7570"/>
      <c r="H105" s="7570"/>
      <c r="I105" s="7570"/>
      <c r="J105" s="7570"/>
      <c r="K105" s="7570"/>
      <c r="L105" s="7571"/>
      <c r="M105" s="7572"/>
      <c r="N105" s="7572"/>
      <c r="O105" s="6889"/>
      <c r="P105" s="7573"/>
      <c r="Q105" s="7574"/>
      <c r="R105" s="7573"/>
      <c r="S105" s="7575"/>
      <c r="T105" s="7576" t="s">
        <v>270</v>
      </c>
      <c r="U105" s="6880"/>
      <c r="V105" s="6880"/>
      <c r="W105" s="6880"/>
      <c r="X105" s="6880"/>
      <c r="Y105" s="6880"/>
      <c r="Z105" s="6880"/>
      <c r="AA105" s="6880"/>
      <c r="AB105" s="6880"/>
      <c r="AC105" s="6880"/>
      <c r="AD105" s="6880"/>
      <c r="AE105" s="6880"/>
      <c r="AF105" s="6880"/>
      <c r="AG105" s="6880"/>
      <c r="AH105" s="6880"/>
      <c r="AI105" s="6880"/>
      <c r="AJ105" s="6880"/>
      <c r="AK105" s="6880"/>
      <c r="AL105" s="6880"/>
      <c r="AM105" s="6880"/>
      <c r="AN105" s="6880"/>
      <c r="AO105" s="6880"/>
      <c r="AP105" s="6880"/>
      <c r="AQ105" s="6880"/>
      <c r="AR105" s="6880"/>
      <c r="AS105" s="6880"/>
      <c r="AT105" s="6880"/>
      <c r="AU105" s="6880"/>
      <c r="AV105" s="6880"/>
      <c r="AW105" s="6880"/>
      <c r="AX105" s="6880"/>
      <c r="AY105" s="6880"/>
      <c r="AZ105" s="6880"/>
      <c r="BA105" s="6880"/>
      <c r="BB105" s="6880"/>
      <c r="BC105" s="6880"/>
      <c r="BD105" s="6880"/>
      <c r="BE105" s="6880"/>
      <c r="BF105" s="6880"/>
      <c r="BG105" s="6880"/>
      <c r="BH105" s="6880"/>
      <c r="BI105" s="6880"/>
      <c r="BJ105" s="6880"/>
      <c r="BK105" s="6880"/>
      <c r="BL105" s="6880"/>
      <c r="BM105" s="6880"/>
      <c r="BN105" s="6880"/>
      <c r="BO105" s="6880"/>
      <c r="BP105" s="6880"/>
      <c r="BQ105" s="6880"/>
      <c r="BR105" s="6880"/>
      <c r="BS105" s="6880"/>
      <c r="BT105" s="6880"/>
      <c r="BU105" s="6880"/>
      <c r="BV105" s="6880"/>
      <c r="BW105" s="6880"/>
      <c r="BX105" s="6880"/>
      <c r="BY105" s="6880"/>
      <c r="BZ105" s="6880"/>
      <c r="CA105" s="6880"/>
      <c r="CB105" s="6880"/>
      <c r="CC105" s="6880"/>
      <c r="CD105" s="6880"/>
      <c r="CE105" s="6880"/>
      <c r="CF105" s="6880"/>
      <c r="CG105" s="6880"/>
      <c r="CH105" s="6880"/>
      <c r="CI105" s="6880"/>
      <c r="CJ105" s="6880"/>
      <c r="CK105" s="6880"/>
      <c r="CL105" s="6880"/>
      <c r="CM105" s="6880"/>
      <c r="CN105" s="6880"/>
      <c r="CO105" s="6880"/>
      <c r="CP105" s="6880"/>
      <c r="CQ105" s="6880"/>
      <c r="CR105" s="6880"/>
      <c r="CS105" s="6880"/>
      <c r="CT105" s="6880"/>
      <c r="CU105" s="6880"/>
      <c r="CV105" s="6880"/>
      <c r="CW105" s="6880"/>
      <c r="CX105" s="6880"/>
      <c r="CY105" s="6880"/>
      <c r="CZ105" s="6880"/>
      <c r="DA105" s="6880"/>
      <c r="DB105" s="6880"/>
      <c r="DC105" s="6880"/>
      <c r="DD105" s="6880"/>
      <c r="DE105" s="6880"/>
      <c r="DF105" s="6880"/>
      <c r="DG105" s="6880"/>
      <c r="DH105" s="6880"/>
      <c r="DI105" s="6880"/>
      <c r="DJ105" s="6880"/>
      <c r="DK105" s="6880"/>
      <c r="DL105" s="6880"/>
      <c r="DM105" s="6880"/>
      <c r="DN105" s="6880"/>
      <c r="DO105" s="6880"/>
      <c r="DP105" s="6880"/>
      <c r="DQ105" s="6880"/>
      <c r="DR105" s="6880"/>
      <c r="DS105" s="6880"/>
      <c r="DT105" s="6880"/>
      <c r="DU105" s="6880"/>
      <c r="DV105" s="6880"/>
      <c r="DW105" s="6880"/>
      <c r="DX105" s="6880"/>
      <c r="DY105" s="6880"/>
      <c r="DZ105" s="6880"/>
      <c r="EA105" s="6880"/>
      <c r="EB105" s="19228"/>
      <c r="EC105" s="19228"/>
      <c r="ED105" s="19228"/>
      <c r="EE105" s="19228"/>
      <c r="EF105" s="19228"/>
      <c r="EG105" s="19228"/>
      <c r="EH105" s="19228"/>
      <c r="EI105" s="19228"/>
      <c r="EJ105" s="19228"/>
      <c r="EK105" s="19228"/>
      <c r="EL105" s="19228"/>
      <c r="EM105" s="19228"/>
      <c r="EN105" s="19228"/>
      <c r="EO105" s="19228"/>
      <c r="EP105" s="19228"/>
      <c r="EQ105" s="19228"/>
      <c r="ER105" s="19228"/>
      <c r="ES105" s="19228"/>
      <c r="ET105" s="19228"/>
      <c r="EU105" s="19228"/>
      <c r="EV105" s="19228"/>
      <c r="EW105" s="19228"/>
      <c r="EX105" s="6880"/>
      <c r="EY105" s="6880"/>
      <c r="EZ105" s="6889"/>
      <c r="FA105" s="7194"/>
      <c r="FB105" s="7194" t="str">
        <f>IF(T105="","",T105)</f>
        <v>Добавить территорию для дифференциации</v>
      </c>
      <c r="FC105" s="7194"/>
      <c r="FD105" s="7194"/>
    </row>
    <row s="35480" customFormat="1" customHeight="1" ht="23.25">
      <c r="A106" s="7182" t="s">
        <v>284</v>
      </c>
      <c r="B106" s="7182"/>
      <c r="C106" s="7182"/>
      <c r="D106" s="7182"/>
      <c r="E106" s="7184" t="s">
        <v>89</v>
      </c>
      <c r="F106" s="7182"/>
      <c r="G106" s="7182"/>
      <c r="H106" s="7182"/>
      <c r="I106" s="7182"/>
      <c r="J106" s="7182"/>
      <c r="K106" s="7182"/>
      <c r="L106" s="7185"/>
      <c r="M106" s="7186"/>
      <c r="N106" s="7186"/>
      <c r="O106" s="7186"/>
      <c r="P106" s="7932"/>
      <c r="Q106" s="7451"/>
      <c r="R106" s="7453"/>
      <c r="S106" s="7190" t="str">
        <f>INDEX(PT_DIFFERENTIATION_NUM_NTAR,MATCH(A106,PT_DIFFERENTIATION_NTAR_ID,0))</f>
        <v>3</v>
      </c>
      <c r="T106" s="7933" t="s">
        <v>131</v>
      </c>
      <c r="U106" s="7192"/>
      <c r="V106" s="6602"/>
      <c r="W106" s="6603"/>
      <c r="X106" s="6603"/>
      <c r="Y106" s="6603"/>
      <c r="Z106" s="6603"/>
      <c r="AA106" s="6603"/>
      <c r="AB106" s="6603"/>
      <c r="AC106" s="6603"/>
      <c r="AD106" s="6603"/>
      <c r="AE106" s="6603"/>
      <c r="AF106" s="6604"/>
      <c r="AG106" s="6602" t="str">
        <f>INDEX(PT_DIFFERENTIATION_NTAR,MATCH(A106,PT_DIFFERENTIATION_NTAR_ID,0))</f>
        <v>Тариф на горячую воду в закрытой системе горячего водоснабжения, поставляемую группе потребителей "потребители (кроме населения)"</v>
      </c>
      <c r="AH106" s="6603"/>
      <c r="AI106" s="6603"/>
      <c r="AJ106" s="6603"/>
      <c r="AK106" s="6603"/>
      <c r="AL106" s="6603"/>
      <c r="AM106" s="6603"/>
      <c r="AN106" s="6603"/>
      <c r="AO106" s="6603"/>
      <c r="AP106" s="6603"/>
      <c r="AQ106" s="6603"/>
      <c r="AR106" s="6602"/>
      <c r="AS106" s="6603"/>
      <c r="AT106" s="6603"/>
      <c r="AU106" s="6603"/>
      <c r="AV106" s="6603"/>
      <c r="AW106" s="6603"/>
      <c r="AX106" s="6603"/>
      <c r="AY106" s="6603"/>
      <c r="AZ106" s="6603"/>
      <c r="BA106" s="6603"/>
      <c r="BB106" s="6604"/>
      <c r="BC106" s="6602"/>
      <c r="BD106" s="6603"/>
      <c r="BE106" s="6603"/>
      <c r="BF106" s="6603"/>
      <c r="BG106" s="6603"/>
      <c r="BH106" s="6603"/>
      <c r="BI106" s="6603"/>
      <c r="BJ106" s="6603"/>
      <c r="BK106" s="6603"/>
      <c r="BL106" s="6603"/>
      <c r="BM106" s="6604"/>
      <c r="BN106" s="6602"/>
      <c r="BO106" s="6603"/>
      <c r="BP106" s="6603"/>
      <c r="BQ106" s="6603"/>
      <c r="BR106" s="6603"/>
      <c r="BS106" s="6603"/>
      <c r="BT106" s="6603"/>
      <c r="BU106" s="6603"/>
      <c r="BV106" s="6603"/>
      <c r="BW106" s="6603"/>
      <c r="BX106" s="6604"/>
      <c r="BY106" s="6602"/>
      <c r="BZ106" s="6603"/>
      <c r="CA106" s="6603"/>
      <c r="CB106" s="6603"/>
      <c r="CC106" s="6603"/>
      <c r="CD106" s="6603"/>
      <c r="CE106" s="6603"/>
      <c r="CF106" s="6603"/>
      <c r="CG106" s="6603"/>
      <c r="CH106" s="6603"/>
      <c r="CI106" s="6604"/>
      <c r="CJ106" s="6602"/>
      <c r="CK106" s="6603"/>
      <c r="CL106" s="6603"/>
      <c r="CM106" s="6603"/>
      <c r="CN106" s="6603"/>
      <c r="CO106" s="6603"/>
      <c r="CP106" s="6603"/>
      <c r="CQ106" s="6603"/>
      <c r="CR106" s="6603"/>
      <c r="CS106" s="6603"/>
      <c r="CT106" s="6604"/>
      <c r="CU106" s="6602"/>
      <c r="CV106" s="6603"/>
      <c r="CW106" s="6603"/>
      <c r="CX106" s="6603"/>
      <c r="CY106" s="6603"/>
      <c r="CZ106" s="6603"/>
      <c r="DA106" s="6603"/>
      <c r="DB106" s="6603"/>
      <c r="DC106" s="6603"/>
      <c r="DD106" s="6603"/>
      <c r="DE106" s="6604"/>
      <c r="DF106" s="6602"/>
      <c r="DG106" s="6603"/>
      <c r="DH106" s="6603"/>
      <c r="DI106" s="6603"/>
      <c r="DJ106" s="6603"/>
      <c r="DK106" s="6603"/>
      <c r="DL106" s="6603"/>
      <c r="DM106" s="6603"/>
      <c r="DN106" s="6603"/>
      <c r="DO106" s="6603"/>
      <c r="DP106" s="6604"/>
      <c r="DQ106" s="6602"/>
      <c r="DR106" s="6603"/>
      <c r="DS106" s="6603"/>
      <c r="DT106" s="6603"/>
      <c r="DU106" s="6603"/>
      <c r="DV106" s="6603"/>
      <c r="DW106" s="6603"/>
      <c r="DX106" s="6603"/>
      <c r="DY106" s="6603"/>
      <c r="DZ106" s="6603"/>
      <c r="EA106" s="6604"/>
      <c r="EB106" s="18872"/>
      <c r="EC106" s="18873"/>
      <c r="ED106" s="18873"/>
      <c r="EE106" s="18873"/>
      <c r="EF106" s="18873"/>
      <c r="EG106" s="18873"/>
      <c r="EH106" s="18873"/>
      <c r="EI106" s="18873"/>
      <c r="EJ106" s="18873"/>
      <c r="EK106" s="18873"/>
      <c r="EL106" s="18874"/>
      <c r="EM106" s="18872"/>
      <c r="EN106" s="18873"/>
      <c r="EO106" s="18873"/>
      <c r="EP106" s="18873"/>
      <c r="EQ106" s="18873"/>
      <c r="ER106" s="18873"/>
      <c r="ES106" s="18873"/>
      <c r="ET106" s="18873"/>
      <c r="EU106" s="18873"/>
      <c r="EV106" s="18873"/>
      <c r="EW106" s="18874"/>
      <c r="EX106" s="6604"/>
      <c r="EY106" s="71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EZ106" s="6889"/>
      <c r="FA106" s="7194"/>
      <c r="FB106" s="7194" t="str">
        <f>IF(T106="","",T106)</f>
        <v>Наименование тарифа</v>
      </c>
      <c r="FC106" s="7194"/>
      <c r="FD106" s="7194"/>
    </row>
    <row s="35481" customFormat="1" customHeight="1" ht="23.25">
      <c r="A107" s="7182"/>
      <c r="B107" s="7182" t="s">
        <v>285</v>
      </c>
      <c r="C107" s="7182"/>
      <c r="D107" s="7182"/>
      <c r="E107" s="7183" t="s">
        <v>102</v>
      </c>
      <c r="F107" s="7184">
        <v>1</v>
      </c>
      <c r="G107" s="7182"/>
      <c r="H107" s="7182"/>
      <c r="I107" s="7182"/>
      <c r="J107" s="7182"/>
      <c r="K107" s="7182"/>
      <c r="L107" s="7185"/>
      <c r="M107" s="7186"/>
      <c r="N107" s="7186"/>
      <c r="O107" s="7186"/>
      <c r="P107" s="7187"/>
      <c r="Q107" s="7188"/>
      <c r="R107" s="7189"/>
      <c r="S107" s="7190" t="str">
        <f>INDEX(PT_DIFFERENTIATION_NUM_TER,MATCH(B107,PT_DIFFERENTIATION_TER_ID,0))</f>
        <v>3.1</v>
      </c>
      <c r="T107" s="7191" t="s">
        <v>438</v>
      </c>
      <c r="U107" s="7192"/>
      <c r="V107" s="6602"/>
      <c r="W107" s="6603"/>
      <c r="X107" s="6603"/>
      <c r="Y107" s="6603"/>
      <c r="Z107" s="6603"/>
      <c r="AA107" s="6603"/>
      <c r="AB107" s="6603"/>
      <c r="AC107" s="6603"/>
      <c r="AD107" s="6603"/>
      <c r="AE107" s="6603"/>
      <c r="AF107" s="6604"/>
      <c r="AG107" s="6602" t="str">
        <f>INDEX(PT_DIFFERENTIATION_TER,MATCH(B107,PT_DIFFERENTIATION_TER_ID,0))</f>
        <v>Территория 1</v>
      </c>
      <c r="AH107" s="6603"/>
      <c r="AI107" s="6603"/>
      <c r="AJ107" s="6603"/>
      <c r="AK107" s="6603"/>
      <c r="AL107" s="6603"/>
      <c r="AM107" s="6603"/>
      <c r="AN107" s="6603"/>
      <c r="AO107" s="6603"/>
      <c r="AP107" s="6603"/>
      <c r="AQ107" s="6603"/>
      <c r="AR107" s="6602"/>
      <c r="AS107" s="6603"/>
      <c r="AT107" s="6603"/>
      <c r="AU107" s="6603"/>
      <c r="AV107" s="6603"/>
      <c r="AW107" s="6603"/>
      <c r="AX107" s="6603"/>
      <c r="AY107" s="6603"/>
      <c r="AZ107" s="6603"/>
      <c r="BA107" s="6603"/>
      <c r="BB107" s="6604"/>
      <c r="BC107" s="6602"/>
      <c r="BD107" s="6603"/>
      <c r="BE107" s="6603"/>
      <c r="BF107" s="6603"/>
      <c r="BG107" s="6603"/>
      <c r="BH107" s="6603"/>
      <c r="BI107" s="6603"/>
      <c r="BJ107" s="6603"/>
      <c r="BK107" s="6603"/>
      <c r="BL107" s="6603"/>
      <c r="BM107" s="6604"/>
      <c r="BN107" s="6602"/>
      <c r="BO107" s="6603"/>
      <c r="BP107" s="6603"/>
      <c r="BQ107" s="6603"/>
      <c r="BR107" s="6603"/>
      <c r="BS107" s="6603"/>
      <c r="BT107" s="6603"/>
      <c r="BU107" s="6603"/>
      <c r="BV107" s="6603"/>
      <c r="BW107" s="6603"/>
      <c r="BX107" s="6604"/>
      <c r="BY107" s="6602"/>
      <c r="BZ107" s="6603"/>
      <c r="CA107" s="6603"/>
      <c r="CB107" s="6603"/>
      <c r="CC107" s="6603"/>
      <c r="CD107" s="6603"/>
      <c r="CE107" s="6603"/>
      <c r="CF107" s="6603"/>
      <c r="CG107" s="6603"/>
      <c r="CH107" s="6603"/>
      <c r="CI107" s="6604"/>
      <c r="CJ107" s="6602"/>
      <c r="CK107" s="6603"/>
      <c r="CL107" s="6603"/>
      <c r="CM107" s="6603"/>
      <c r="CN107" s="6603"/>
      <c r="CO107" s="6603"/>
      <c r="CP107" s="6603"/>
      <c r="CQ107" s="6603"/>
      <c r="CR107" s="6603"/>
      <c r="CS107" s="6603"/>
      <c r="CT107" s="6604"/>
      <c r="CU107" s="6602"/>
      <c r="CV107" s="6603"/>
      <c r="CW107" s="6603"/>
      <c r="CX107" s="6603"/>
      <c r="CY107" s="6603"/>
      <c r="CZ107" s="6603"/>
      <c r="DA107" s="6603"/>
      <c r="DB107" s="6603"/>
      <c r="DC107" s="6603"/>
      <c r="DD107" s="6603"/>
      <c r="DE107" s="6604"/>
      <c r="DF107" s="6602"/>
      <c r="DG107" s="6603"/>
      <c r="DH107" s="6603"/>
      <c r="DI107" s="6603"/>
      <c r="DJ107" s="6603"/>
      <c r="DK107" s="6603"/>
      <c r="DL107" s="6603"/>
      <c r="DM107" s="6603"/>
      <c r="DN107" s="6603"/>
      <c r="DO107" s="6603"/>
      <c r="DP107" s="6604"/>
      <c r="DQ107" s="6602"/>
      <c r="DR107" s="6603"/>
      <c r="DS107" s="6603"/>
      <c r="DT107" s="6603"/>
      <c r="DU107" s="6603"/>
      <c r="DV107" s="6603"/>
      <c r="DW107" s="6603"/>
      <c r="DX107" s="6603"/>
      <c r="DY107" s="6603"/>
      <c r="DZ107" s="6603"/>
      <c r="EA107" s="6604"/>
      <c r="EB107" s="18872"/>
      <c r="EC107" s="18873"/>
      <c r="ED107" s="18873"/>
      <c r="EE107" s="18873"/>
      <c r="EF107" s="18873"/>
      <c r="EG107" s="18873"/>
      <c r="EH107" s="18873"/>
      <c r="EI107" s="18873"/>
      <c r="EJ107" s="18873"/>
      <c r="EK107" s="18873"/>
      <c r="EL107" s="18874"/>
      <c r="EM107" s="18872"/>
      <c r="EN107" s="18873"/>
      <c r="EO107" s="18873"/>
      <c r="EP107" s="18873"/>
      <c r="EQ107" s="18873"/>
      <c r="ER107" s="18873"/>
      <c r="ES107" s="18873"/>
      <c r="ET107" s="18873"/>
      <c r="EU107" s="18873"/>
      <c r="EV107" s="18873"/>
      <c r="EW107" s="18874"/>
      <c r="EX107" s="6604"/>
      <c r="EY107" s="7193" t="s">
        <v>439</v>
      </c>
      <c r="EZ107" s="6889"/>
      <c r="FA107" s="7194"/>
      <c r="FB107" s="7194" t="str">
        <f>IF(T107="","",T107)</f>
        <v>Территория действия тарифа</v>
      </c>
      <c r="FC107" s="7194"/>
      <c r="FD107" s="7194"/>
    </row>
    <row s="35482" customFormat="1" customHeight="1" ht="23.25">
      <c r="A108" s="7182"/>
      <c r="B108" s="7182"/>
      <c r="C108" s="7182" t="s">
        <v>286</v>
      </c>
      <c r="D108" s="7182"/>
      <c r="E108" s="7183" t="s">
        <v>102</v>
      </c>
      <c r="F108" s="7183"/>
      <c r="G108" s="7184">
        <v>1</v>
      </c>
      <c r="H108" s="7182"/>
      <c r="I108" s="7182"/>
      <c r="J108" s="7182"/>
      <c r="K108" s="7182"/>
      <c r="L108" s="7185"/>
      <c r="M108" s="7186"/>
      <c r="N108" s="7186"/>
      <c r="O108" s="7186"/>
      <c r="P108" s="7196"/>
      <c r="Q108" s="7188"/>
      <c r="R108" s="7189"/>
      <c r="S108" s="7190" t="str">
        <f>INDEX(PT_DIFFERENTIATION_NUM_CS,MATCH(C108,PT_DIFFERENTIATION_CS_ID,0))</f>
        <v>3.1.1</v>
      </c>
      <c r="T108" s="7197" t="s">
        <v>569</v>
      </c>
      <c r="U108" s="7192"/>
      <c r="V108" s="6602"/>
      <c r="W108" s="6603"/>
      <c r="X108" s="6603"/>
      <c r="Y108" s="6603"/>
      <c r="Z108" s="6603"/>
      <c r="AA108" s="6603"/>
      <c r="AB108" s="6603"/>
      <c r="AC108" s="6603"/>
      <c r="AD108" s="6603"/>
      <c r="AE108" s="6603"/>
      <c r="AF108" s="6604"/>
      <c r="AG108" s="6602" t="str">
        <f>INDEX(PT_DIFFERENTIATION_CS,MATCH(C108,PT_DIFFERENTIATION_CS_ID,0))</f>
        <v>н.п. Енский</v>
      </c>
      <c r="AH108" s="6603"/>
      <c r="AI108" s="6603"/>
      <c r="AJ108" s="6603"/>
      <c r="AK108" s="6603"/>
      <c r="AL108" s="6603"/>
      <c r="AM108" s="6603"/>
      <c r="AN108" s="6603"/>
      <c r="AO108" s="6603"/>
      <c r="AP108" s="6603"/>
      <c r="AQ108" s="6603"/>
      <c r="AR108" s="6602"/>
      <c r="AS108" s="6603"/>
      <c r="AT108" s="6603"/>
      <c r="AU108" s="6603"/>
      <c r="AV108" s="6603"/>
      <c r="AW108" s="6603"/>
      <c r="AX108" s="6603"/>
      <c r="AY108" s="6603"/>
      <c r="AZ108" s="6603"/>
      <c r="BA108" s="6603"/>
      <c r="BB108" s="6604"/>
      <c r="BC108" s="6602"/>
      <c r="BD108" s="6603"/>
      <c r="BE108" s="6603"/>
      <c r="BF108" s="6603"/>
      <c r="BG108" s="6603"/>
      <c r="BH108" s="6603"/>
      <c r="BI108" s="6603"/>
      <c r="BJ108" s="6603"/>
      <c r="BK108" s="6603"/>
      <c r="BL108" s="6603"/>
      <c r="BM108" s="6604"/>
      <c r="BN108" s="6602"/>
      <c r="BO108" s="6603"/>
      <c r="BP108" s="6603"/>
      <c r="BQ108" s="6603"/>
      <c r="BR108" s="6603"/>
      <c r="BS108" s="6603"/>
      <c r="BT108" s="6603"/>
      <c r="BU108" s="6603"/>
      <c r="BV108" s="6603"/>
      <c r="BW108" s="6603"/>
      <c r="BX108" s="6604"/>
      <c r="BY108" s="6602"/>
      <c r="BZ108" s="6603"/>
      <c r="CA108" s="6603"/>
      <c r="CB108" s="6603"/>
      <c r="CC108" s="6603"/>
      <c r="CD108" s="6603"/>
      <c r="CE108" s="6603"/>
      <c r="CF108" s="6603"/>
      <c r="CG108" s="6603"/>
      <c r="CH108" s="6603"/>
      <c r="CI108" s="6604"/>
      <c r="CJ108" s="6602"/>
      <c r="CK108" s="6603"/>
      <c r="CL108" s="6603"/>
      <c r="CM108" s="6603"/>
      <c r="CN108" s="6603"/>
      <c r="CO108" s="6603"/>
      <c r="CP108" s="6603"/>
      <c r="CQ108" s="6603"/>
      <c r="CR108" s="6603"/>
      <c r="CS108" s="6603"/>
      <c r="CT108" s="6604"/>
      <c r="CU108" s="6602"/>
      <c r="CV108" s="6603"/>
      <c r="CW108" s="6603"/>
      <c r="CX108" s="6603"/>
      <c r="CY108" s="6603"/>
      <c r="CZ108" s="6603"/>
      <c r="DA108" s="6603"/>
      <c r="DB108" s="6603"/>
      <c r="DC108" s="6603"/>
      <c r="DD108" s="6603"/>
      <c r="DE108" s="6604"/>
      <c r="DF108" s="6602"/>
      <c r="DG108" s="6603"/>
      <c r="DH108" s="6603"/>
      <c r="DI108" s="6603"/>
      <c r="DJ108" s="6603"/>
      <c r="DK108" s="6603"/>
      <c r="DL108" s="6603"/>
      <c r="DM108" s="6603"/>
      <c r="DN108" s="6603"/>
      <c r="DO108" s="6603"/>
      <c r="DP108" s="6604"/>
      <c r="DQ108" s="6602"/>
      <c r="DR108" s="6603"/>
      <c r="DS108" s="6603"/>
      <c r="DT108" s="6603"/>
      <c r="DU108" s="6603"/>
      <c r="DV108" s="6603"/>
      <c r="DW108" s="6603"/>
      <c r="DX108" s="6603"/>
      <c r="DY108" s="6603"/>
      <c r="DZ108" s="6603"/>
      <c r="EA108" s="6604"/>
      <c r="EB108" s="18872"/>
      <c r="EC108" s="18873"/>
      <c r="ED108" s="18873"/>
      <c r="EE108" s="18873"/>
      <c r="EF108" s="18873"/>
      <c r="EG108" s="18873"/>
      <c r="EH108" s="18873"/>
      <c r="EI108" s="18873"/>
      <c r="EJ108" s="18873"/>
      <c r="EK108" s="18873"/>
      <c r="EL108" s="18874"/>
      <c r="EM108" s="18872"/>
      <c r="EN108" s="18873"/>
      <c r="EO108" s="18873"/>
      <c r="EP108" s="18873"/>
      <c r="EQ108" s="18873"/>
      <c r="ER108" s="18873"/>
      <c r="ES108" s="18873"/>
      <c r="ET108" s="18873"/>
      <c r="EU108" s="18873"/>
      <c r="EV108" s="18873"/>
      <c r="EW108" s="18874"/>
      <c r="EX108" s="6604"/>
      <c r="EY108" s="7193" t="s">
        <v>570</v>
      </c>
      <c r="EZ108" s="6889"/>
      <c r="FA108" s="7194"/>
      <c r="FB108" s="7194" t="str">
        <f>IF(T108="","",T108)</f>
        <v>Наименование централизованной системы горячего водоснабжения</v>
      </c>
      <c r="FC108" s="7194"/>
      <c r="FD108" s="7194"/>
    </row>
    <row s="35483" customFormat="1" customHeight="1" ht="23.25">
      <c r="A109" s="7182"/>
      <c r="B109" s="7182"/>
      <c r="C109" s="7182"/>
      <c r="D109" s="7182"/>
      <c r="E109" s="7183" t="s">
        <v>102</v>
      </c>
      <c r="F109" s="7183"/>
      <c r="G109" s="7183"/>
      <c r="H109" s="7183"/>
      <c r="I109" s="7199" t="str">
        <f>S108&amp;".1"</f>
        <v>3.1.1.1</v>
      </c>
      <c r="J109" s="7182"/>
      <c r="K109" s="7182"/>
      <c r="L109" s="7185"/>
      <c r="M109" s="7200"/>
      <c r="N109" s="7200"/>
      <c r="O109" s="7200"/>
      <c r="P109" s="7201">
        <v>1</v>
      </c>
      <c r="Q109" s="7201"/>
      <c r="R109" s="7202"/>
      <c r="S109" s="7190" t="str">
        <f>$I109</f>
        <v>3.1.1.1</v>
      </c>
      <c r="T109" s="7203" t="s">
        <v>522</v>
      </c>
      <c r="U109" s="7192"/>
      <c r="V109" s="6605"/>
      <c r="W109" s="6606"/>
      <c r="X109" s="6606"/>
      <c r="Y109" s="6606"/>
      <c r="Z109" s="6606"/>
      <c r="AA109" s="6606"/>
      <c r="AB109" s="6606"/>
      <c r="AC109" s="6606"/>
      <c r="AD109" s="6606"/>
      <c r="AE109" s="6606"/>
      <c r="AF109" s="6607"/>
      <c r="AG109" s="7204"/>
      <c r="AH109" s="7205"/>
      <c r="AI109" s="7205"/>
      <c r="AJ109" s="7205"/>
      <c r="AK109" s="7205"/>
      <c r="AL109" s="7205"/>
      <c r="AM109" s="7205"/>
      <c r="AN109" s="7205"/>
      <c r="AO109" s="7205"/>
      <c r="AP109" s="7205"/>
      <c r="AQ109" s="7205"/>
      <c r="AR109" s="6605"/>
      <c r="AS109" s="6606"/>
      <c r="AT109" s="6606"/>
      <c r="AU109" s="6606"/>
      <c r="AV109" s="6606"/>
      <c r="AW109" s="6606"/>
      <c r="AX109" s="6606"/>
      <c r="AY109" s="6606"/>
      <c r="AZ109" s="6606"/>
      <c r="BA109" s="6606"/>
      <c r="BB109" s="6607"/>
      <c r="BC109" s="6605"/>
      <c r="BD109" s="6606"/>
      <c r="BE109" s="6606"/>
      <c r="BF109" s="6606"/>
      <c r="BG109" s="6606"/>
      <c r="BH109" s="6606"/>
      <c r="BI109" s="6606"/>
      <c r="BJ109" s="6606"/>
      <c r="BK109" s="6606"/>
      <c r="BL109" s="6606"/>
      <c r="BM109" s="6607"/>
      <c r="BN109" s="6605"/>
      <c r="BO109" s="6606"/>
      <c r="BP109" s="6606"/>
      <c r="BQ109" s="6606"/>
      <c r="BR109" s="6606"/>
      <c r="BS109" s="6606"/>
      <c r="BT109" s="6606"/>
      <c r="BU109" s="6606"/>
      <c r="BV109" s="6606"/>
      <c r="BW109" s="6606"/>
      <c r="BX109" s="6607"/>
      <c r="BY109" s="6605"/>
      <c r="BZ109" s="6606"/>
      <c r="CA109" s="6606"/>
      <c r="CB109" s="6606"/>
      <c r="CC109" s="6606"/>
      <c r="CD109" s="6606"/>
      <c r="CE109" s="6606"/>
      <c r="CF109" s="6606"/>
      <c r="CG109" s="6606"/>
      <c r="CH109" s="6606"/>
      <c r="CI109" s="6607"/>
      <c r="CJ109" s="6605"/>
      <c r="CK109" s="6606"/>
      <c r="CL109" s="6606"/>
      <c r="CM109" s="6606"/>
      <c r="CN109" s="6606"/>
      <c r="CO109" s="6606"/>
      <c r="CP109" s="6606"/>
      <c r="CQ109" s="6606"/>
      <c r="CR109" s="6606"/>
      <c r="CS109" s="6606"/>
      <c r="CT109" s="6607"/>
      <c r="CU109" s="6605"/>
      <c r="CV109" s="6606"/>
      <c r="CW109" s="6606"/>
      <c r="CX109" s="6606"/>
      <c r="CY109" s="6606"/>
      <c r="CZ109" s="6606"/>
      <c r="DA109" s="6606"/>
      <c r="DB109" s="6606"/>
      <c r="DC109" s="6606"/>
      <c r="DD109" s="6606"/>
      <c r="DE109" s="6607"/>
      <c r="DF109" s="6605"/>
      <c r="DG109" s="6606"/>
      <c r="DH109" s="6606"/>
      <c r="DI109" s="6606"/>
      <c r="DJ109" s="6606"/>
      <c r="DK109" s="6606"/>
      <c r="DL109" s="6606"/>
      <c r="DM109" s="6606"/>
      <c r="DN109" s="6606"/>
      <c r="DO109" s="6606"/>
      <c r="DP109" s="6607"/>
      <c r="DQ109" s="6605"/>
      <c r="DR109" s="6606"/>
      <c r="DS109" s="6606"/>
      <c r="DT109" s="6606"/>
      <c r="DU109" s="6606"/>
      <c r="DV109" s="6606"/>
      <c r="DW109" s="6606"/>
      <c r="DX109" s="6606"/>
      <c r="DY109" s="6606"/>
      <c r="DZ109" s="6606"/>
      <c r="EA109" s="6607"/>
      <c r="EB109" s="18878"/>
      <c r="EC109" s="18879"/>
      <c r="ED109" s="18879"/>
      <c r="EE109" s="18879"/>
      <c r="EF109" s="18879"/>
      <c r="EG109" s="18879"/>
      <c r="EH109" s="18879"/>
      <c r="EI109" s="18879"/>
      <c r="EJ109" s="18879"/>
      <c r="EK109" s="18879"/>
      <c r="EL109" s="18880"/>
      <c r="EM109" s="18878"/>
      <c r="EN109" s="18879"/>
      <c r="EO109" s="18879"/>
      <c r="EP109" s="18879"/>
      <c r="EQ109" s="18879"/>
      <c r="ER109" s="18879"/>
      <c r="ES109" s="18879"/>
      <c r="ET109" s="18879"/>
      <c r="EU109" s="18879"/>
      <c r="EV109" s="18879"/>
      <c r="EW109" s="18880"/>
      <c r="EX109" s="7206"/>
      <c r="EY109" s="7193" t="s">
        <v>523</v>
      </c>
      <c r="EZ109" s="6889"/>
      <c r="FA109" s="7194"/>
      <c r="FB109" s="7194" t="str">
        <f>IF(T109="","",T109)</f>
        <v>Наименование признака дифференциации</v>
      </c>
      <c r="FC109" s="7194"/>
      <c r="FD109" s="7194"/>
    </row>
    <row s="35484" customFormat="1" customHeight="1" ht="23.25">
      <c r="A110" s="7182"/>
      <c r="B110" s="7182"/>
      <c r="C110" s="7182"/>
      <c r="D110" s="7182"/>
      <c r="E110" s="7183" t="s">
        <v>102</v>
      </c>
      <c r="F110" s="7183"/>
      <c r="G110" s="7183"/>
      <c r="H110" s="7183"/>
      <c r="I110" s="7208"/>
      <c r="J110" s="7199" t="str">
        <f>I109&amp;".1"</f>
        <v>3.1.1.1.1</v>
      </c>
      <c r="K110" s="7182"/>
      <c r="L110" s="7185" t="s">
        <v>447</v>
      </c>
      <c r="M110" s="7200"/>
      <c r="N110" s="7200"/>
      <c r="O110" s="7200"/>
      <c r="P110" s="7201"/>
      <c r="Q110" s="7201">
        <v>1</v>
      </c>
      <c r="R110" s="7209"/>
      <c r="S110" s="7190" t="str">
        <f>$J110</f>
        <v>3.1.1.1.1</v>
      </c>
      <c r="T110" s="7210" t="s">
        <v>448</v>
      </c>
      <c r="U110" s="7192"/>
      <c r="V110" s="6608"/>
      <c r="W110" s="6609"/>
      <c r="X110" s="6609"/>
      <c r="Y110" s="6609"/>
      <c r="Z110" s="6609"/>
      <c r="AA110" s="6609"/>
      <c r="AB110" s="6609"/>
      <c r="AC110" s="6609"/>
      <c r="AD110" s="6609"/>
      <c r="AE110" s="6609"/>
      <c r="AF110" s="6610"/>
      <c r="AG110" s="6608" t="s">
        <v>582</v>
      </c>
      <c r="AH110" s="6609"/>
      <c r="AI110" s="6609"/>
      <c r="AJ110" s="6609"/>
      <c r="AK110" s="6609"/>
      <c r="AL110" s="6609"/>
      <c r="AM110" s="6609"/>
      <c r="AN110" s="6609"/>
      <c r="AO110" s="6609"/>
      <c r="AP110" s="6609"/>
      <c r="AQ110" s="6609"/>
      <c r="AR110" s="6608"/>
      <c r="AS110" s="6609"/>
      <c r="AT110" s="6609"/>
      <c r="AU110" s="6609"/>
      <c r="AV110" s="6609"/>
      <c r="AW110" s="6609"/>
      <c r="AX110" s="6609"/>
      <c r="AY110" s="6609"/>
      <c r="AZ110" s="6609"/>
      <c r="BA110" s="6609"/>
      <c r="BB110" s="6610"/>
      <c r="BC110" s="6608"/>
      <c r="BD110" s="6609"/>
      <c r="BE110" s="6609"/>
      <c r="BF110" s="6609"/>
      <c r="BG110" s="6609"/>
      <c r="BH110" s="6609"/>
      <c r="BI110" s="6609"/>
      <c r="BJ110" s="6609"/>
      <c r="BK110" s="6609"/>
      <c r="BL110" s="6609"/>
      <c r="BM110" s="6610"/>
      <c r="BN110" s="6608"/>
      <c r="BO110" s="6609"/>
      <c r="BP110" s="6609"/>
      <c r="BQ110" s="6609"/>
      <c r="BR110" s="6609"/>
      <c r="BS110" s="6609"/>
      <c r="BT110" s="6609"/>
      <c r="BU110" s="6609"/>
      <c r="BV110" s="6609"/>
      <c r="BW110" s="6609"/>
      <c r="BX110" s="6610"/>
      <c r="BY110" s="6608"/>
      <c r="BZ110" s="6609"/>
      <c r="CA110" s="6609"/>
      <c r="CB110" s="6609"/>
      <c r="CC110" s="6609"/>
      <c r="CD110" s="6609"/>
      <c r="CE110" s="6609"/>
      <c r="CF110" s="6609"/>
      <c r="CG110" s="6609"/>
      <c r="CH110" s="6609"/>
      <c r="CI110" s="6610"/>
      <c r="CJ110" s="6608"/>
      <c r="CK110" s="6609"/>
      <c r="CL110" s="6609"/>
      <c r="CM110" s="6609"/>
      <c r="CN110" s="6609"/>
      <c r="CO110" s="6609"/>
      <c r="CP110" s="6609"/>
      <c r="CQ110" s="6609"/>
      <c r="CR110" s="6609"/>
      <c r="CS110" s="6609"/>
      <c r="CT110" s="6610"/>
      <c r="CU110" s="6608"/>
      <c r="CV110" s="6609"/>
      <c r="CW110" s="6609"/>
      <c r="CX110" s="6609"/>
      <c r="CY110" s="6609"/>
      <c r="CZ110" s="6609"/>
      <c r="DA110" s="6609"/>
      <c r="DB110" s="6609"/>
      <c r="DC110" s="6609"/>
      <c r="DD110" s="6609"/>
      <c r="DE110" s="6610"/>
      <c r="DF110" s="6608"/>
      <c r="DG110" s="6609"/>
      <c r="DH110" s="6609"/>
      <c r="DI110" s="6609"/>
      <c r="DJ110" s="6609"/>
      <c r="DK110" s="6609"/>
      <c r="DL110" s="6609"/>
      <c r="DM110" s="6609"/>
      <c r="DN110" s="6609"/>
      <c r="DO110" s="6609"/>
      <c r="DP110" s="6610"/>
      <c r="DQ110" s="6608"/>
      <c r="DR110" s="6609"/>
      <c r="DS110" s="6609"/>
      <c r="DT110" s="6609"/>
      <c r="DU110" s="6609"/>
      <c r="DV110" s="6609"/>
      <c r="DW110" s="6609"/>
      <c r="DX110" s="6609"/>
      <c r="DY110" s="6609"/>
      <c r="DZ110" s="6609"/>
      <c r="EA110" s="6610"/>
      <c r="EB110" s="18884"/>
      <c r="EC110" s="18885"/>
      <c r="ED110" s="18885"/>
      <c r="EE110" s="18885"/>
      <c r="EF110" s="18885"/>
      <c r="EG110" s="18885"/>
      <c r="EH110" s="18885"/>
      <c r="EI110" s="18885"/>
      <c r="EJ110" s="18885"/>
      <c r="EK110" s="18885"/>
      <c r="EL110" s="18886"/>
      <c r="EM110" s="18884"/>
      <c r="EN110" s="18885"/>
      <c r="EO110" s="18885"/>
      <c r="EP110" s="18885"/>
      <c r="EQ110" s="18885"/>
      <c r="ER110" s="18885"/>
      <c r="ES110" s="18885"/>
      <c r="ET110" s="18885"/>
      <c r="EU110" s="18885"/>
      <c r="EV110" s="18885"/>
      <c r="EW110" s="18886"/>
      <c r="EX110" s="6610"/>
      <c r="EY110" s="7211" t="s">
        <v>524</v>
      </c>
      <c r="EZ110" s="6889"/>
      <c r="FA110" s="7194"/>
      <c r="FB110" s="7194" t="str">
        <f>IF(T110="","",T110)</f>
        <v>Группа потребителей</v>
      </c>
      <c r="FC110" s="7194"/>
      <c r="FD110" s="7194"/>
    </row>
    <row s="35485" customFormat="1" customHeight="1" ht="23.25">
      <c r="A111" s="7182"/>
      <c r="B111" s="7182"/>
      <c r="C111" s="7182"/>
      <c r="D111" s="7182"/>
      <c r="E111" s="7183" t="s">
        <v>102</v>
      </c>
      <c r="F111" s="7183"/>
      <c r="G111" s="7183"/>
      <c r="H111" s="7183"/>
      <c r="I111" s="7208"/>
      <c r="J111" s="7208"/>
      <c r="K111" s="7199" t="str">
        <f>J110&amp;".1"</f>
        <v>3.1.1.1.1.1</v>
      </c>
      <c r="L111" s="7185"/>
      <c r="M111" s="7200"/>
      <c r="N111" s="7200"/>
      <c r="O111" s="7200"/>
      <c r="P111" s="7201"/>
      <c r="Q111" s="7201"/>
      <c r="R111" s="7209">
        <v>1</v>
      </c>
      <c r="S111" s="7190" t="str">
        <f>$K111</f>
        <v>3.1.1.1.1.1</v>
      </c>
      <c r="T111" s="7213"/>
      <c r="U111" s="7192"/>
      <c r="V111" s="6611"/>
      <c r="W111" s="6611"/>
      <c r="X111" s="6611"/>
      <c r="Y111" s="6611"/>
      <c r="Z111" s="6611"/>
      <c r="AA111" s="6611"/>
      <c r="AB111" s="6611"/>
      <c r="AC111" s="6612"/>
      <c r="AD111" s="6613" t="s">
        <v>66</v>
      </c>
      <c r="AE111" s="6612"/>
      <c r="AF111" s="6613" t="s">
        <v>66</v>
      </c>
      <c r="AG111" s="6611">
        <v>143.13</v>
      </c>
      <c r="AH111" s="6611"/>
      <c r="AI111" s="6611"/>
      <c r="AJ111" s="6611"/>
      <c r="AK111" s="6611">
        <v>5211.17</v>
      </c>
      <c r="AL111" s="6611"/>
      <c r="AM111" s="6611"/>
      <c r="AN111" s="18891">
        <v>44896</v>
      </c>
      <c r="AO111" s="6613" t="s">
        <v>66</v>
      </c>
      <c r="AP111" s="19294">
        <v>45291</v>
      </c>
      <c r="AQ111" s="6613" t="s">
        <v>66</v>
      </c>
      <c r="AR111" s="6611">
        <v>143.13</v>
      </c>
      <c r="AS111" s="6611"/>
      <c r="AT111" s="6611"/>
      <c r="AU111" s="6611"/>
      <c r="AV111" s="6611">
        <v>5211.17</v>
      </c>
      <c r="AW111" s="6611"/>
      <c r="AX111" s="6611"/>
      <c r="AY111" s="18891">
        <v>45292</v>
      </c>
      <c r="AZ111" s="6613" t="s">
        <v>66</v>
      </c>
      <c r="BA111" s="18891">
        <v>45473</v>
      </c>
      <c r="BB111" s="6613" t="s">
        <v>66</v>
      </c>
      <c r="BC111" s="6611">
        <v>222.69</v>
      </c>
      <c r="BD111" s="6611"/>
      <c r="BE111" s="6611"/>
      <c r="BF111" s="6611"/>
      <c r="BG111" s="6611">
        <v>5727.08</v>
      </c>
      <c r="BH111" s="6611"/>
      <c r="BI111" s="6611"/>
      <c r="BJ111" s="18891">
        <v>45474</v>
      </c>
      <c r="BK111" s="6613" t="s">
        <v>66</v>
      </c>
      <c r="BL111" s="18891">
        <v>45657</v>
      </c>
      <c r="BM111" s="6613" t="s">
        <v>66</v>
      </c>
      <c r="BN111" s="6611">
        <v>149.86</v>
      </c>
      <c r="BO111" s="6611"/>
      <c r="BP111" s="6611"/>
      <c r="BQ111" s="6611"/>
      <c r="BR111" s="6611">
        <v>5456.09</v>
      </c>
      <c r="BS111" s="6611"/>
      <c r="BT111" s="6611"/>
      <c r="BU111" s="18891">
        <v>45658</v>
      </c>
      <c r="BV111" s="6613" t="s">
        <v>66</v>
      </c>
      <c r="BW111" s="18891">
        <v>45838</v>
      </c>
      <c r="BX111" s="6613" t="s">
        <v>66</v>
      </c>
      <c r="BY111" s="6611">
        <v>156.9</v>
      </c>
      <c r="BZ111" s="6611"/>
      <c r="CA111" s="6611"/>
      <c r="CB111" s="6611"/>
      <c r="CC111" s="6611">
        <v>5674.33</v>
      </c>
      <c r="CD111" s="6611"/>
      <c r="CE111" s="6611"/>
      <c r="CF111" s="18891">
        <v>45839</v>
      </c>
      <c r="CG111" s="6613" t="s">
        <v>66</v>
      </c>
      <c r="CH111" s="18891">
        <v>46022</v>
      </c>
      <c r="CI111" s="6613" t="s">
        <v>66</v>
      </c>
      <c r="CJ111" s="6611">
        <v>156.9</v>
      </c>
      <c r="CK111" s="6611"/>
      <c r="CL111" s="6611"/>
      <c r="CM111" s="6611"/>
      <c r="CN111" s="6611">
        <v>5674.33</v>
      </c>
      <c r="CO111" s="6611"/>
      <c r="CP111" s="6611"/>
      <c r="CQ111" s="18891">
        <v>46023</v>
      </c>
      <c r="CR111" s="6613" t="s">
        <v>66</v>
      </c>
      <c r="CS111" s="18891">
        <v>46203</v>
      </c>
      <c r="CT111" s="6613" t="s">
        <v>66</v>
      </c>
      <c r="CU111" s="6611">
        <v>164.27</v>
      </c>
      <c r="CV111" s="6611"/>
      <c r="CW111" s="6611"/>
      <c r="CX111" s="6611"/>
      <c r="CY111" s="6611">
        <v>5901.3</v>
      </c>
      <c r="CZ111" s="6611"/>
      <c r="DA111" s="6611"/>
      <c r="DB111" s="18891">
        <v>46204</v>
      </c>
      <c r="DC111" s="6613" t="s">
        <v>66</v>
      </c>
      <c r="DD111" s="18891">
        <v>46387</v>
      </c>
      <c r="DE111" s="6613" t="s">
        <v>66</v>
      </c>
      <c r="DF111" s="6611">
        <v>164.27</v>
      </c>
      <c r="DG111" s="6611"/>
      <c r="DH111" s="6611"/>
      <c r="DI111" s="6611"/>
      <c r="DJ111" s="6611">
        <v>5901.3</v>
      </c>
      <c r="DK111" s="6611"/>
      <c r="DL111" s="6611"/>
      <c r="DM111" s="18891">
        <v>46388</v>
      </c>
      <c r="DN111" s="6613" t="s">
        <v>66</v>
      </c>
      <c r="DO111" s="18891">
        <v>46568</v>
      </c>
      <c r="DP111" s="6613" t="s">
        <v>66</v>
      </c>
      <c r="DQ111" s="6611">
        <v>172</v>
      </c>
      <c r="DR111" s="6611"/>
      <c r="DS111" s="6611"/>
      <c r="DT111" s="6611"/>
      <c r="DU111" s="6611">
        <v>6137.35</v>
      </c>
      <c r="DV111" s="6611"/>
      <c r="DW111" s="6611"/>
      <c r="DX111" s="18891">
        <v>46569</v>
      </c>
      <c r="DY111" s="6613" t="s">
        <v>66</v>
      </c>
      <c r="DZ111" s="18891">
        <v>46752</v>
      </c>
      <c r="EA111" s="6613" t="s">
        <v>66</v>
      </c>
      <c r="EB111" s="18890">
        <v>172</v>
      </c>
      <c r="EC111" s="18890"/>
      <c r="ED111" s="18890"/>
      <c r="EE111" s="18890"/>
      <c r="EF111" s="18890">
        <v>6137.35</v>
      </c>
      <c r="EG111" s="18890"/>
      <c r="EH111" s="18890"/>
      <c r="EI111" s="18891">
        <v>46753</v>
      </c>
      <c r="EJ111" s="18892" t="s">
        <v>66</v>
      </c>
      <c r="EK111" s="18891">
        <v>46934</v>
      </c>
      <c r="EL111" s="18892" t="s">
        <v>66</v>
      </c>
      <c r="EM111" s="18890">
        <v>180.08</v>
      </c>
      <c r="EN111" s="18890"/>
      <c r="EO111" s="18890"/>
      <c r="EP111" s="18890"/>
      <c r="EQ111" s="18890">
        <v>6382.84</v>
      </c>
      <c r="ER111" s="18890"/>
      <c r="ES111" s="18890"/>
      <c r="ET111" s="18891">
        <v>46935</v>
      </c>
      <c r="EU111" s="18892" t="s">
        <v>66</v>
      </c>
      <c r="EV111" s="18891">
        <v>47118</v>
      </c>
      <c r="EW111" s="18892" t="s">
        <v>66</v>
      </c>
      <c r="EX111" s="7214"/>
      <c r="EY111" s="72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Z111" s="6889">
        <f>STRCHECKDATE(V112:EX112)</f>
      </c>
      <c r="FA111" s="7194"/>
      <c r="FB111" s="7194" t="str">
        <f>IF(T111="","",T111)</f>
        <v/>
      </c>
      <c r="FC111" s="7194"/>
      <c r="FD111" s="7194"/>
    </row>
    <row s="35486" customFormat="1" customHeight="1" ht="14.25">
      <c r="A112" s="7182"/>
      <c r="B112" s="7182"/>
      <c r="C112" s="7182"/>
      <c r="D112" s="7182"/>
      <c r="E112" s="7183" t="s">
        <v>102</v>
      </c>
      <c r="F112" s="7183"/>
      <c r="G112" s="7183"/>
      <c r="H112" s="7183"/>
      <c r="I112" s="7208"/>
      <c r="J112" s="7208"/>
      <c r="K112" s="7199"/>
      <c r="L112" s="7185"/>
      <c r="M112" s="7200"/>
      <c r="N112" s="7200"/>
      <c r="O112" s="7200"/>
      <c r="P112" s="7201"/>
      <c r="Q112" s="7201"/>
      <c r="R112" s="7209"/>
      <c r="S112" s="7217"/>
      <c r="T112" s="7192"/>
      <c r="U112" s="7192"/>
      <c r="V112" s="6614"/>
      <c r="W112" s="6614"/>
      <c r="X112" s="6614"/>
      <c r="Y112" s="6614"/>
      <c r="Z112" s="6614"/>
      <c r="AA112" s="6614"/>
      <c r="AB112" s="6614"/>
      <c r="AC112" s="6615"/>
      <c r="AD112" s="6613"/>
      <c r="AE112" s="6615"/>
      <c r="AF112" s="6613"/>
      <c r="AG112" s="6614"/>
      <c r="AH112" s="6614"/>
      <c r="AI112" s="6614"/>
      <c r="AJ112" s="6614"/>
      <c r="AK112" s="6614"/>
      <c r="AL112" s="6614"/>
      <c r="AM112" s="6614"/>
      <c r="AN112" s="6615"/>
      <c r="AO112" s="6613"/>
      <c r="AP112" s="6916"/>
      <c r="AQ112" s="6613"/>
      <c r="AR112" s="6614"/>
      <c r="AS112" s="6614"/>
      <c r="AT112" s="6614"/>
      <c r="AU112" s="6614"/>
      <c r="AV112" s="6614"/>
      <c r="AW112" s="6614"/>
      <c r="AX112" s="6614"/>
      <c r="AY112" s="6615"/>
      <c r="AZ112" s="6613"/>
      <c r="BA112" s="6615"/>
      <c r="BB112" s="6613"/>
      <c r="BC112" s="6614"/>
      <c r="BD112" s="6614"/>
      <c r="BE112" s="6614"/>
      <c r="BF112" s="6614"/>
      <c r="BG112" s="6614"/>
      <c r="BH112" s="6614"/>
      <c r="BI112" s="6614"/>
      <c r="BJ112" s="6615"/>
      <c r="BK112" s="6613"/>
      <c r="BL112" s="6615"/>
      <c r="BM112" s="6613"/>
      <c r="BN112" s="6614"/>
      <c r="BO112" s="6614"/>
      <c r="BP112" s="6614"/>
      <c r="BQ112" s="6614"/>
      <c r="BR112" s="6614"/>
      <c r="BS112" s="6614"/>
      <c r="BT112" s="6614"/>
      <c r="BU112" s="6615"/>
      <c r="BV112" s="6613"/>
      <c r="BW112" s="6615"/>
      <c r="BX112" s="6613"/>
      <c r="BY112" s="6614"/>
      <c r="BZ112" s="6614"/>
      <c r="CA112" s="6614"/>
      <c r="CB112" s="6614"/>
      <c r="CC112" s="6614"/>
      <c r="CD112" s="6614"/>
      <c r="CE112" s="6614"/>
      <c r="CF112" s="6615"/>
      <c r="CG112" s="6613"/>
      <c r="CH112" s="6615"/>
      <c r="CI112" s="6613"/>
      <c r="CJ112" s="6614"/>
      <c r="CK112" s="6614"/>
      <c r="CL112" s="6614"/>
      <c r="CM112" s="6614"/>
      <c r="CN112" s="6614"/>
      <c r="CO112" s="6614"/>
      <c r="CP112" s="6614"/>
      <c r="CQ112" s="6615"/>
      <c r="CR112" s="6613"/>
      <c r="CS112" s="6615"/>
      <c r="CT112" s="6613"/>
      <c r="CU112" s="6614"/>
      <c r="CV112" s="6614"/>
      <c r="CW112" s="6614"/>
      <c r="CX112" s="6614"/>
      <c r="CY112" s="6614"/>
      <c r="CZ112" s="6614"/>
      <c r="DA112" s="6614"/>
      <c r="DB112" s="6615"/>
      <c r="DC112" s="6613"/>
      <c r="DD112" s="6615"/>
      <c r="DE112" s="6613"/>
      <c r="DF112" s="6614"/>
      <c r="DG112" s="6614"/>
      <c r="DH112" s="6614"/>
      <c r="DI112" s="6614"/>
      <c r="DJ112" s="6614"/>
      <c r="DK112" s="6614"/>
      <c r="DL112" s="6614"/>
      <c r="DM112" s="6615"/>
      <c r="DN112" s="6613"/>
      <c r="DO112" s="6615"/>
      <c r="DP112" s="6613"/>
      <c r="DQ112" s="6614"/>
      <c r="DR112" s="6614"/>
      <c r="DS112" s="6614"/>
      <c r="DT112" s="6614"/>
      <c r="DU112" s="6614"/>
      <c r="DV112" s="6614"/>
      <c r="DW112" s="6614"/>
      <c r="DX112" s="6615"/>
      <c r="DY112" s="6613"/>
      <c r="DZ112" s="6615"/>
      <c r="EA112" s="6613"/>
      <c r="EB112" s="18895"/>
      <c r="EC112" s="18895"/>
      <c r="ED112" s="18895"/>
      <c r="EE112" s="18895"/>
      <c r="EF112" s="18895"/>
      <c r="EG112" s="18895"/>
      <c r="EH112" s="18895"/>
      <c r="EI112" s="18896"/>
      <c r="EJ112" s="18892"/>
      <c r="EK112" s="18896"/>
      <c r="EL112" s="18892"/>
      <c r="EM112" s="18895"/>
      <c r="EN112" s="18895"/>
      <c r="EO112" s="18895"/>
      <c r="EP112" s="18895"/>
      <c r="EQ112" s="18895"/>
      <c r="ER112" s="18895"/>
      <c r="ES112" s="18895"/>
      <c r="ET112" s="18896"/>
      <c r="EU112" s="18892"/>
      <c r="EV112" s="18896"/>
      <c r="EW112" s="18892"/>
      <c r="EX112" s="7218"/>
      <c r="EY112" s="7215"/>
      <c r="EZ112" s="6889"/>
      <c r="FA112" s="7194"/>
      <c r="FB112" s="7194" t="str">
        <f>IF(T112="","",T112)</f>
        <v/>
      </c>
      <c r="FC112" s="7194"/>
      <c r="FD112" s="7194"/>
    </row>
    <row s="35487" customFormat="1" customHeight="1" ht="21">
      <c r="A113" s="7182"/>
      <c r="B113" s="7182"/>
      <c r="C113" s="7182"/>
      <c r="D113" s="7182"/>
      <c r="E113" s="7183" t="s">
        <v>102</v>
      </c>
      <c r="F113" s="7183"/>
      <c r="G113" s="7183"/>
      <c r="H113" s="7183"/>
      <c r="I113" s="7208"/>
      <c r="J113" s="7199"/>
      <c r="K113" s="7182"/>
      <c r="L113" s="7185"/>
      <c r="M113" s="7200"/>
      <c r="N113" s="7200"/>
      <c r="O113" s="7200"/>
      <c r="P113" s="7201"/>
      <c r="Q113" s="7201"/>
      <c r="R113" s="7202"/>
      <c r="S113" s="9005"/>
      <c r="T113" s="9006" t="s">
        <v>525</v>
      </c>
      <c r="U113" s="9007"/>
      <c r="V113" s="9008"/>
      <c r="W113" s="9009"/>
      <c r="X113" s="9010"/>
      <c r="Y113" s="9011"/>
      <c r="Z113" s="9012"/>
      <c r="AA113" s="9013"/>
      <c r="AB113" s="9014"/>
      <c r="AC113" s="9015"/>
      <c r="AD113" s="9016"/>
      <c r="AE113" s="9017"/>
      <c r="AF113" s="9018"/>
      <c r="AG113" s="9019"/>
      <c r="AH113" s="9020"/>
      <c r="AI113" s="9021"/>
      <c r="AJ113" s="9022"/>
      <c r="AK113" s="9023"/>
      <c r="AL113" s="9024"/>
      <c r="AM113" s="9025"/>
      <c r="AN113" s="9026"/>
      <c r="AO113" s="9027"/>
      <c r="AP113" s="9028"/>
      <c r="AQ113" s="9029"/>
      <c r="AR113" s="9030"/>
      <c r="AS113" s="9031"/>
      <c r="AT113" s="9032"/>
      <c r="AU113" s="9033"/>
      <c r="AV113" s="9034"/>
      <c r="AW113" s="9035"/>
      <c r="AX113" s="9036"/>
      <c r="AY113" s="9037"/>
      <c r="AZ113" s="9038"/>
      <c r="BA113" s="9039"/>
      <c r="BB113" s="9040"/>
      <c r="BC113" s="9041"/>
      <c r="BD113" s="9042"/>
      <c r="BE113" s="9043"/>
      <c r="BF113" s="9044"/>
      <c r="BG113" s="9045"/>
      <c r="BH113" s="9046"/>
      <c r="BI113" s="9047"/>
      <c r="BJ113" s="9048"/>
      <c r="BK113" s="9049"/>
      <c r="BL113" s="9050"/>
      <c r="BM113" s="9051"/>
      <c r="BN113" s="9052"/>
      <c r="BO113" s="9053"/>
      <c r="BP113" s="9054"/>
      <c r="BQ113" s="9055"/>
      <c r="BR113" s="9056"/>
      <c r="BS113" s="9057"/>
      <c r="BT113" s="9058"/>
      <c r="BU113" s="9059"/>
      <c r="BV113" s="9060"/>
      <c r="BW113" s="9061"/>
      <c r="BX113" s="9062"/>
      <c r="BY113" s="9063"/>
      <c r="BZ113" s="9064"/>
      <c r="CA113" s="9065"/>
      <c r="CB113" s="9066"/>
      <c r="CC113" s="9067"/>
      <c r="CD113" s="9068"/>
      <c r="CE113" s="9069"/>
      <c r="CF113" s="9070"/>
      <c r="CG113" s="9071"/>
      <c r="CH113" s="9072"/>
      <c r="CI113" s="9073"/>
      <c r="CJ113" s="9074"/>
      <c r="CK113" s="9075"/>
      <c r="CL113" s="9076"/>
      <c r="CM113" s="9077"/>
      <c r="CN113" s="9078"/>
      <c r="CO113" s="9079"/>
      <c r="CP113" s="9080"/>
      <c r="CQ113" s="9081"/>
      <c r="CR113" s="9082"/>
      <c r="CS113" s="9083"/>
      <c r="CT113" s="9084"/>
      <c r="CU113" s="9085"/>
      <c r="CV113" s="9086"/>
      <c r="CW113" s="9087"/>
      <c r="CX113" s="9088"/>
      <c r="CY113" s="9089"/>
      <c r="CZ113" s="9090"/>
      <c r="DA113" s="9091"/>
      <c r="DB113" s="9092"/>
      <c r="DC113" s="9093"/>
      <c r="DD113" s="9094"/>
      <c r="DE113" s="9095"/>
      <c r="DF113" s="9096"/>
      <c r="DG113" s="9097"/>
      <c r="DH113" s="9098"/>
      <c r="DI113" s="9099"/>
      <c r="DJ113" s="9100"/>
      <c r="DK113" s="9101"/>
      <c r="DL113" s="9102"/>
      <c r="DM113" s="9103"/>
      <c r="DN113" s="9104"/>
      <c r="DO113" s="9105"/>
      <c r="DP113" s="9106"/>
      <c r="DQ113" s="9107"/>
      <c r="DR113" s="9108"/>
      <c r="DS113" s="9109"/>
      <c r="DT113" s="9110"/>
      <c r="DU113" s="9111"/>
      <c r="DV113" s="9112"/>
      <c r="DW113" s="9113"/>
      <c r="DX113" s="9114"/>
      <c r="DY113" s="9115"/>
      <c r="DZ113" s="9116"/>
      <c r="EA113" s="9117"/>
      <c r="EB113" s="21894"/>
      <c r="EC113" s="21895"/>
      <c r="ED113" s="21896"/>
      <c r="EE113" s="21897"/>
      <c r="EF113" s="21898"/>
      <c r="EG113" s="21899"/>
      <c r="EH113" s="21900"/>
      <c r="EI113" s="21901"/>
      <c r="EJ113" s="21902"/>
      <c r="EK113" s="21903"/>
      <c r="EL113" s="21904"/>
      <c r="EM113" s="21905"/>
      <c r="EN113" s="21906"/>
      <c r="EO113" s="21907"/>
      <c r="EP113" s="21908"/>
      <c r="EQ113" s="21909"/>
      <c r="ER113" s="21910"/>
      <c r="ES113" s="21911"/>
      <c r="ET113" s="21912"/>
      <c r="EU113" s="21913"/>
      <c r="EV113" s="21914"/>
      <c r="EW113" s="21915"/>
      <c r="EX113" s="9118"/>
      <c r="EY113" s="7193" t="s">
        <v>526</v>
      </c>
      <c r="EZ113" s="6889"/>
      <c r="FA113" s="7194"/>
      <c r="FB113" s="7194" t="str">
        <f>IF(T113="","",T113)</f>
        <v>Добавить значение признака дифференциации</v>
      </c>
      <c r="FC113" s="7194"/>
      <c r="FD113" s="7194"/>
    </row>
    <row s="35624" customFormat="1" customHeight="1" ht="21">
      <c r="A114" s="7182"/>
      <c r="B114" s="7182"/>
      <c r="C114" s="7182"/>
      <c r="D114" s="7182"/>
      <c r="E114" s="7183" t="s">
        <v>102</v>
      </c>
      <c r="F114" s="7183"/>
      <c r="G114" s="7183"/>
      <c r="H114" s="7183"/>
      <c r="I114" s="7199"/>
      <c r="J114" s="7182"/>
      <c r="K114" s="7182"/>
      <c r="L114" s="7185"/>
      <c r="M114" s="7200"/>
      <c r="N114" s="7200"/>
      <c r="O114" s="7200"/>
      <c r="P114" s="7201"/>
      <c r="Q114" s="7201"/>
      <c r="R114" s="7202"/>
      <c r="S114" s="9120"/>
      <c r="T114" s="9121" t="s">
        <v>453</v>
      </c>
      <c r="U114" s="9122"/>
      <c r="V114" s="9123"/>
      <c r="W114" s="9124"/>
      <c r="X114" s="9125"/>
      <c r="Y114" s="9126"/>
      <c r="Z114" s="9127"/>
      <c r="AA114" s="9128"/>
      <c r="AB114" s="9129"/>
      <c r="AC114" s="9130"/>
      <c r="AD114" s="9131"/>
      <c r="AE114" s="9132"/>
      <c r="AF114" s="9133"/>
      <c r="AG114" s="9134"/>
      <c r="AH114" s="9135"/>
      <c r="AI114" s="9136"/>
      <c r="AJ114" s="9137"/>
      <c r="AK114" s="9138"/>
      <c r="AL114" s="9139"/>
      <c r="AM114" s="9140"/>
      <c r="AN114" s="9141"/>
      <c r="AO114" s="9142"/>
      <c r="AP114" s="9143"/>
      <c r="AQ114" s="9144"/>
      <c r="AR114" s="9145"/>
      <c r="AS114" s="9146"/>
      <c r="AT114" s="9147"/>
      <c r="AU114" s="9148"/>
      <c r="AV114" s="9149"/>
      <c r="AW114" s="9150"/>
      <c r="AX114" s="9151"/>
      <c r="AY114" s="9152"/>
      <c r="AZ114" s="9153"/>
      <c r="BA114" s="9154"/>
      <c r="BB114" s="9155"/>
      <c r="BC114" s="9156"/>
      <c r="BD114" s="9157"/>
      <c r="BE114" s="9158"/>
      <c r="BF114" s="9159"/>
      <c r="BG114" s="9160"/>
      <c r="BH114" s="9161"/>
      <c r="BI114" s="9162"/>
      <c r="BJ114" s="9163"/>
      <c r="BK114" s="9164"/>
      <c r="BL114" s="9165"/>
      <c r="BM114" s="9166"/>
      <c r="BN114" s="9167"/>
      <c r="BO114" s="9168"/>
      <c r="BP114" s="9169"/>
      <c r="BQ114" s="9170"/>
      <c r="BR114" s="9171"/>
      <c r="BS114" s="9172"/>
      <c r="BT114" s="9173"/>
      <c r="BU114" s="9174"/>
      <c r="BV114" s="9175"/>
      <c r="BW114" s="9176"/>
      <c r="BX114" s="9177"/>
      <c r="BY114" s="9178"/>
      <c r="BZ114" s="9179"/>
      <c r="CA114" s="9180"/>
      <c r="CB114" s="9181"/>
      <c r="CC114" s="9182"/>
      <c r="CD114" s="9183"/>
      <c r="CE114" s="9184"/>
      <c r="CF114" s="9185"/>
      <c r="CG114" s="9186"/>
      <c r="CH114" s="9187"/>
      <c r="CI114" s="9188"/>
      <c r="CJ114" s="9189"/>
      <c r="CK114" s="9190"/>
      <c r="CL114" s="9191"/>
      <c r="CM114" s="9192"/>
      <c r="CN114" s="9193"/>
      <c r="CO114" s="9194"/>
      <c r="CP114" s="9195"/>
      <c r="CQ114" s="9196"/>
      <c r="CR114" s="9197"/>
      <c r="CS114" s="9198"/>
      <c r="CT114" s="9199"/>
      <c r="CU114" s="9200"/>
      <c r="CV114" s="9201"/>
      <c r="CW114" s="9202"/>
      <c r="CX114" s="9203"/>
      <c r="CY114" s="9204"/>
      <c r="CZ114" s="9205"/>
      <c r="DA114" s="9206"/>
      <c r="DB114" s="9207"/>
      <c r="DC114" s="9208"/>
      <c r="DD114" s="9209"/>
      <c r="DE114" s="9210"/>
      <c r="DF114" s="9211"/>
      <c r="DG114" s="9212"/>
      <c r="DH114" s="9213"/>
      <c r="DI114" s="9214"/>
      <c r="DJ114" s="9215"/>
      <c r="DK114" s="9216"/>
      <c r="DL114" s="9217"/>
      <c r="DM114" s="9218"/>
      <c r="DN114" s="9219"/>
      <c r="DO114" s="9220"/>
      <c r="DP114" s="9221"/>
      <c r="DQ114" s="9222"/>
      <c r="DR114" s="9223"/>
      <c r="DS114" s="9224"/>
      <c r="DT114" s="9225"/>
      <c r="DU114" s="9226"/>
      <c r="DV114" s="9227"/>
      <c r="DW114" s="9228"/>
      <c r="DX114" s="9229"/>
      <c r="DY114" s="9230"/>
      <c r="DZ114" s="9231"/>
      <c r="EA114" s="9232"/>
      <c r="EB114" s="22031"/>
      <c r="EC114" s="22032"/>
      <c r="ED114" s="22033"/>
      <c r="EE114" s="22034"/>
      <c r="EF114" s="22035"/>
      <c r="EG114" s="22036"/>
      <c r="EH114" s="22037"/>
      <c r="EI114" s="22038"/>
      <c r="EJ114" s="22039"/>
      <c r="EK114" s="22040"/>
      <c r="EL114" s="22041"/>
      <c r="EM114" s="22042"/>
      <c r="EN114" s="22043"/>
      <c r="EO114" s="22044"/>
      <c r="EP114" s="22045"/>
      <c r="EQ114" s="22046"/>
      <c r="ER114" s="22047"/>
      <c r="ES114" s="22048"/>
      <c r="ET114" s="22049"/>
      <c r="EU114" s="22050"/>
      <c r="EV114" s="22051"/>
      <c r="EW114" s="22052"/>
      <c r="EX114" s="9233"/>
      <c r="EY114" s="9234"/>
      <c r="EZ114" s="6889"/>
      <c r="FA114" s="7194"/>
      <c r="FB114" s="7194" t="str">
        <f>IF(T114="","",T114)</f>
        <v>Добавить группу потребителей</v>
      </c>
      <c r="FC114" s="7194"/>
      <c r="FD114" s="7194"/>
    </row>
    <row s="35762" customFormat="1" customHeight="1" ht="21">
      <c r="A115" s="7182"/>
      <c r="B115" s="7182"/>
      <c r="C115" s="7182"/>
      <c r="D115" s="7182"/>
      <c r="E115" s="7183" t="s">
        <v>102</v>
      </c>
      <c r="F115" s="7183"/>
      <c r="G115" s="7183"/>
      <c r="H115" s="7184"/>
      <c r="I115" s="7182"/>
      <c r="J115" s="7182"/>
      <c r="K115" s="7182"/>
      <c r="L115" s="7185"/>
      <c r="M115" s="7186"/>
      <c r="N115" s="7186"/>
      <c r="O115" s="6881"/>
      <c r="P115" s="7451"/>
      <c r="Q115" s="7452"/>
      <c r="R115" s="7453"/>
      <c r="S115" s="9236"/>
      <c r="T115" s="9237" t="s">
        <v>527</v>
      </c>
      <c r="U115" s="9238"/>
      <c r="V115" s="9239"/>
      <c r="W115" s="9240"/>
      <c r="X115" s="9241"/>
      <c r="Y115" s="9242"/>
      <c r="Z115" s="9243"/>
      <c r="AA115" s="9244"/>
      <c r="AB115" s="9245"/>
      <c r="AC115" s="9246"/>
      <c r="AD115" s="9247"/>
      <c r="AE115" s="9248"/>
      <c r="AF115" s="9249"/>
      <c r="AG115" s="9250"/>
      <c r="AH115" s="9251"/>
      <c r="AI115" s="9252"/>
      <c r="AJ115" s="9253"/>
      <c r="AK115" s="9254"/>
      <c r="AL115" s="9255"/>
      <c r="AM115" s="9256"/>
      <c r="AN115" s="9257"/>
      <c r="AO115" s="9258"/>
      <c r="AP115" s="9259"/>
      <c r="AQ115" s="9260"/>
      <c r="AR115" s="9261"/>
      <c r="AS115" s="9262"/>
      <c r="AT115" s="9263"/>
      <c r="AU115" s="9264"/>
      <c r="AV115" s="9265"/>
      <c r="AW115" s="9266"/>
      <c r="AX115" s="9267"/>
      <c r="AY115" s="9268"/>
      <c r="AZ115" s="9269"/>
      <c r="BA115" s="9270"/>
      <c r="BB115" s="9271"/>
      <c r="BC115" s="9272"/>
      <c r="BD115" s="9273"/>
      <c r="BE115" s="9274"/>
      <c r="BF115" s="9275"/>
      <c r="BG115" s="9276"/>
      <c r="BH115" s="9277"/>
      <c r="BI115" s="9278"/>
      <c r="BJ115" s="9279"/>
      <c r="BK115" s="9280"/>
      <c r="BL115" s="9281"/>
      <c r="BM115" s="9282"/>
      <c r="BN115" s="9283"/>
      <c r="BO115" s="9284"/>
      <c r="BP115" s="9285"/>
      <c r="BQ115" s="9286"/>
      <c r="BR115" s="9287"/>
      <c r="BS115" s="9288"/>
      <c r="BT115" s="9289"/>
      <c r="BU115" s="9290"/>
      <c r="BV115" s="9291"/>
      <c r="BW115" s="9292"/>
      <c r="BX115" s="9293"/>
      <c r="BY115" s="9294"/>
      <c r="BZ115" s="9295"/>
      <c r="CA115" s="9296"/>
      <c r="CB115" s="9297"/>
      <c r="CC115" s="9298"/>
      <c r="CD115" s="9299"/>
      <c r="CE115" s="9300"/>
      <c r="CF115" s="9301"/>
      <c r="CG115" s="9302"/>
      <c r="CH115" s="9303"/>
      <c r="CI115" s="9304"/>
      <c r="CJ115" s="9305"/>
      <c r="CK115" s="9306"/>
      <c r="CL115" s="9307"/>
      <c r="CM115" s="9308"/>
      <c r="CN115" s="9309"/>
      <c r="CO115" s="9310"/>
      <c r="CP115" s="9311"/>
      <c r="CQ115" s="9312"/>
      <c r="CR115" s="9313"/>
      <c r="CS115" s="9314"/>
      <c r="CT115" s="9315"/>
      <c r="CU115" s="9316"/>
      <c r="CV115" s="9317"/>
      <c r="CW115" s="9318"/>
      <c r="CX115" s="9319"/>
      <c r="CY115" s="9320"/>
      <c r="CZ115" s="9321"/>
      <c r="DA115" s="9322"/>
      <c r="DB115" s="9323"/>
      <c r="DC115" s="9324"/>
      <c r="DD115" s="9325"/>
      <c r="DE115" s="9326"/>
      <c r="DF115" s="9327"/>
      <c r="DG115" s="9328"/>
      <c r="DH115" s="9329"/>
      <c r="DI115" s="9330"/>
      <c r="DJ115" s="9331"/>
      <c r="DK115" s="9332"/>
      <c r="DL115" s="9333"/>
      <c r="DM115" s="9334"/>
      <c r="DN115" s="9335"/>
      <c r="DO115" s="9336"/>
      <c r="DP115" s="9337"/>
      <c r="DQ115" s="9338"/>
      <c r="DR115" s="9339"/>
      <c r="DS115" s="9340"/>
      <c r="DT115" s="9341"/>
      <c r="DU115" s="9342"/>
      <c r="DV115" s="9343"/>
      <c r="DW115" s="9344"/>
      <c r="DX115" s="9345"/>
      <c r="DY115" s="9346"/>
      <c r="DZ115" s="9347"/>
      <c r="EA115" s="9348"/>
      <c r="EB115" s="22169"/>
      <c r="EC115" s="22170"/>
      <c r="ED115" s="22171"/>
      <c r="EE115" s="22172"/>
      <c r="EF115" s="22173"/>
      <c r="EG115" s="22174"/>
      <c r="EH115" s="22175"/>
      <c r="EI115" s="22176"/>
      <c r="EJ115" s="22177"/>
      <c r="EK115" s="22178"/>
      <c r="EL115" s="22179"/>
      <c r="EM115" s="22180"/>
      <c r="EN115" s="22181"/>
      <c r="EO115" s="22182"/>
      <c r="EP115" s="22183"/>
      <c r="EQ115" s="22184"/>
      <c r="ER115" s="22185"/>
      <c r="ES115" s="22186"/>
      <c r="ET115" s="22187"/>
      <c r="EU115" s="22188"/>
      <c r="EV115" s="22189"/>
      <c r="EW115" s="22190"/>
      <c r="EX115" s="9349"/>
      <c r="EY115" s="9350"/>
      <c r="EZ115" s="6889"/>
      <c r="FA115" s="7194"/>
      <c r="FB115" s="7194" t="str">
        <f>IF(T115="","",T115)</f>
        <v>Добавить наименование признака дифференциации</v>
      </c>
      <c r="FC115" s="7194"/>
      <c r="FD115" s="7194"/>
    </row>
    <row s="35900" customFormat="1" customHeight="1" ht="14.25">
      <c r="A116" s="7570"/>
      <c r="B116" s="7570"/>
      <c r="C116" s="7570"/>
      <c r="D116" s="7570"/>
      <c r="E116" s="7183" t="s">
        <v>102</v>
      </c>
      <c r="F116" s="7184"/>
      <c r="G116" s="7570"/>
      <c r="H116" s="7570"/>
      <c r="I116" s="7570"/>
      <c r="J116" s="7570"/>
      <c r="K116" s="7570"/>
      <c r="L116" s="7571"/>
      <c r="M116" s="7572"/>
      <c r="N116" s="7572"/>
      <c r="O116" s="6889"/>
      <c r="P116" s="7573"/>
      <c r="Q116" s="7574"/>
      <c r="R116" s="7573"/>
      <c r="S116" s="7575"/>
      <c r="T116" s="7576" t="s">
        <v>262</v>
      </c>
      <c r="U116" s="6880"/>
      <c r="V116" s="6880"/>
      <c r="W116" s="6880"/>
      <c r="X116" s="6880"/>
      <c r="Y116" s="6880"/>
      <c r="Z116" s="6880"/>
      <c r="AA116" s="6880"/>
      <c r="AB116" s="6880"/>
      <c r="AC116" s="6880"/>
      <c r="AD116" s="6880"/>
      <c r="AE116" s="6880"/>
      <c r="AF116" s="6880"/>
      <c r="AG116" s="6880"/>
      <c r="AH116" s="6880"/>
      <c r="AI116" s="6880"/>
      <c r="AJ116" s="6880"/>
      <c r="AK116" s="6880"/>
      <c r="AL116" s="6880"/>
      <c r="AM116" s="6880"/>
      <c r="AN116" s="6880"/>
      <c r="AO116" s="6880"/>
      <c r="AP116" s="6880"/>
      <c r="AQ116" s="6880"/>
      <c r="AR116" s="6880"/>
      <c r="AS116" s="6880"/>
      <c r="AT116" s="6880"/>
      <c r="AU116" s="6880"/>
      <c r="AV116" s="6880"/>
      <c r="AW116" s="6880"/>
      <c r="AX116" s="6880"/>
      <c r="AY116" s="6880"/>
      <c r="AZ116" s="6880"/>
      <c r="BA116" s="6880"/>
      <c r="BB116" s="6880"/>
      <c r="BC116" s="6880"/>
      <c r="BD116" s="6880"/>
      <c r="BE116" s="6880"/>
      <c r="BF116" s="6880"/>
      <c r="BG116" s="6880"/>
      <c r="BH116" s="6880"/>
      <c r="BI116" s="6880"/>
      <c r="BJ116" s="6880"/>
      <c r="BK116" s="6880"/>
      <c r="BL116" s="6880"/>
      <c r="BM116" s="6880"/>
      <c r="BN116" s="6880"/>
      <c r="BO116" s="6880"/>
      <c r="BP116" s="6880"/>
      <c r="BQ116" s="6880"/>
      <c r="BR116" s="6880"/>
      <c r="BS116" s="6880"/>
      <c r="BT116" s="6880"/>
      <c r="BU116" s="6880"/>
      <c r="BV116" s="6880"/>
      <c r="BW116" s="6880"/>
      <c r="BX116" s="6880"/>
      <c r="BY116" s="6880"/>
      <c r="BZ116" s="6880"/>
      <c r="CA116" s="6880"/>
      <c r="CB116" s="6880"/>
      <c r="CC116" s="6880"/>
      <c r="CD116" s="6880"/>
      <c r="CE116" s="6880"/>
      <c r="CF116" s="6880"/>
      <c r="CG116" s="6880"/>
      <c r="CH116" s="6880"/>
      <c r="CI116" s="6880"/>
      <c r="CJ116" s="6880"/>
      <c r="CK116" s="6880"/>
      <c r="CL116" s="6880"/>
      <c r="CM116" s="6880"/>
      <c r="CN116" s="6880"/>
      <c r="CO116" s="6880"/>
      <c r="CP116" s="6880"/>
      <c r="CQ116" s="6880"/>
      <c r="CR116" s="6880"/>
      <c r="CS116" s="6880"/>
      <c r="CT116" s="6880"/>
      <c r="CU116" s="6880"/>
      <c r="CV116" s="6880"/>
      <c r="CW116" s="6880"/>
      <c r="CX116" s="6880"/>
      <c r="CY116" s="6880"/>
      <c r="CZ116" s="6880"/>
      <c r="DA116" s="6880"/>
      <c r="DB116" s="6880"/>
      <c r="DC116" s="6880"/>
      <c r="DD116" s="6880"/>
      <c r="DE116" s="6880"/>
      <c r="DF116" s="6880"/>
      <c r="DG116" s="6880"/>
      <c r="DH116" s="6880"/>
      <c r="DI116" s="6880"/>
      <c r="DJ116" s="6880"/>
      <c r="DK116" s="6880"/>
      <c r="DL116" s="6880"/>
      <c r="DM116" s="6880"/>
      <c r="DN116" s="6880"/>
      <c r="DO116" s="6880"/>
      <c r="DP116" s="6880"/>
      <c r="DQ116" s="6880"/>
      <c r="DR116" s="6880"/>
      <c r="DS116" s="6880"/>
      <c r="DT116" s="6880"/>
      <c r="DU116" s="6880"/>
      <c r="DV116" s="6880"/>
      <c r="DW116" s="6880"/>
      <c r="DX116" s="6880"/>
      <c r="DY116" s="6880"/>
      <c r="DZ116" s="6880"/>
      <c r="EA116" s="6880"/>
      <c r="EB116" s="19228"/>
      <c r="EC116" s="19228"/>
      <c r="ED116" s="19228"/>
      <c r="EE116" s="19228"/>
      <c r="EF116" s="19228"/>
      <c r="EG116" s="19228"/>
      <c r="EH116" s="19228"/>
      <c r="EI116" s="19228"/>
      <c r="EJ116" s="19228"/>
      <c r="EK116" s="19228"/>
      <c r="EL116" s="19228"/>
      <c r="EM116" s="19228"/>
      <c r="EN116" s="19228"/>
      <c r="EO116" s="19228"/>
      <c r="EP116" s="19228"/>
      <c r="EQ116" s="19228"/>
      <c r="ER116" s="19228"/>
      <c r="ES116" s="19228"/>
      <c r="ET116" s="19228"/>
      <c r="EU116" s="19228"/>
      <c r="EV116" s="19228"/>
      <c r="EW116" s="19228"/>
      <c r="EX116" s="6880"/>
      <c r="EY116" s="6880"/>
      <c r="EZ116" s="6889"/>
      <c r="FA116" s="7194"/>
      <c r="FB116" s="7194" t="str">
        <f>IF(T116="","",T116)</f>
        <v>Добавить централизованную систему для дифференциации</v>
      </c>
      <c r="FC116" s="7194"/>
      <c r="FD116" s="7194"/>
    </row>
    <row s="35901" customFormat="1" customHeight="1" ht="23.25">
      <c r="A117" s="7182"/>
      <c r="B117" s="7182" t="s">
        <v>288</v>
      </c>
      <c r="C117" s="7182"/>
      <c r="D117" s="7182"/>
      <c r="E117" s="7183"/>
      <c r="F117" s="7184" t="s">
        <v>102</v>
      </c>
      <c r="G117" s="7182"/>
      <c r="H117" s="7182"/>
      <c r="I117" s="7182"/>
      <c r="J117" s="7182"/>
      <c r="K117" s="7182"/>
      <c r="L117" s="7185"/>
      <c r="M117" s="7186"/>
      <c r="N117" s="7186"/>
      <c r="O117" s="7186"/>
      <c r="P117" s="7187"/>
      <c r="Q117" s="7188"/>
      <c r="R117" s="7189"/>
      <c r="S117" s="7190" t="str">
        <f>INDEX(PT_DIFFERENTIATION_NUM_TER,MATCH(B117,PT_DIFFERENTIATION_TER_ID,0))</f>
        <v>3.2</v>
      </c>
      <c r="T117" s="7191" t="s">
        <v>438</v>
      </c>
      <c r="U117" s="7192"/>
      <c r="V117" s="6602"/>
      <c r="W117" s="6603"/>
      <c r="X117" s="6603"/>
      <c r="Y117" s="6603"/>
      <c r="Z117" s="6603"/>
      <c r="AA117" s="6603"/>
      <c r="AB117" s="6603"/>
      <c r="AC117" s="6603"/>
      <c r="AD117" s="6603"/>
      <c r="AE117" s="6603"/>
      <c r="AF117" s="6604"/>
      <c r="AG117" s="6602" t="str">
        <f>INDEX(PT_DIFFERENTIATION_TER,MATCH(B117,PT_DIFFERENTIATION_TER_ID,0))</f>
        <v>Территория 2</v>
      </c>
      <c r="AH117" s="6603"/>
      <c r="AI117" s="6603"/>
      <c r="AJ117" s="6603"/>
      <c r="AK117" s="6603"/>
      <c r="AL117" s="6603"/>
      <c r="AM117" s="6603"/>
      <c r="AN117" s="6603"/>
      <c r="AO117" s="6603"/>
      <c r="AP117" s="6603"/>
      <c r="AQ117" s="6603"/>
      <c r="AR117" s="6602"/>
      <c r="AS117" s="6603"/>
      <c r="AT117" s="6603"/>
      <c r="AU117" s="6603"/>
      <c r="AV117" s="6603"/>
      <c r="AW117" s="6603"/>
      <c r="AX117" s="6603"/>
      <c r="AY117" s="6603"/>
      <c r="AZ117" s="6603"/>
      <c r="BA117" s="6603"/>
      <c r="BB117" s="6604"/>
      <c r="BC117" s="6602"/>
      <c r="BD117" s="6603"/>
      <c r="BE117" s="6603"/>
      <c r="BF117" s="6603"/>
      <c r="BG117" s="6603"/>
      <c r="BH117" s="6603"/>
      <c r="BI117" s="6603"/>
      <c r="BJ117" s="6603"/>
      <c r="BK117" s="6603"/>
      <c r="BL117" s="6603"/>
      <c r="BM117" s="6604"/>
      <c r="BN117" s="6602"/>
      <c r="BO117" s="6603"/>
      <c r="BP117" s="6603"/>
      <c r="BQ117" s="6603"/>
      <c r="BR117" s="6603"/>
      <c r="BS117" s="6603"/>
      <c r="BT117" s="6603"/>
      <c r="BU117" s="6603"/>
      <c r="BV117" s="6603"/>
      <c r="BW117" s="6603"/>
      <c r="BX117" s="6604"/>
      <c r="BY117" s="6602"/>
      <c r="BZ117" s="6603"/>
      <c r="CA117" s="6603"/>
      <c r="CB117" s="6603"/>
      <c r="CC117" s="6603"/>
      <c r="CD117" s="6603"/>
      <c r="CE117" s="6603"/>
      <c r="CF117" s="6603"/>
      <c r="CG117" s="6603"/>
      <c r="CH117" s="6603"/>
      <c r="CI117" s="6604"/>
      <c r="CJ117" s="6602"/>
      <c r="CK117" s="6603"/>
      <c r="CL117" s="6603"/>
      <c r="CM117" s="6603"/>
      <c r="CN117" s="6603"/>
      <c r="CO117" s="6603"/>
      <c r="CP117" s="6603"/>
      <c r="CQ117" s="6603"/>
      <c r="CR117" s="6603"/>
      <c r="CS117" s="6603"/>
      <c r="CT117" s="6604"/>
      <c r="CU117" s="6602"/>
      <c r="CV117" s="6603"/>
      <c r="CW117" s="6603"/>
      <c r="CX117" s="6603"/>
      <c r="CY117" s="6603"/>
      <c r="CZ117" s="6603"/>
      <c r="DA117" s="6603"/>
      <c r="DB117" s="6603"/>
      <c r="DC117" s="6603"/>
      <c r="DD117" s="6603"/>
      <c r="DE117" s="6604"/>
      <c r="DF117" s="6602"/>
      <c r="DG117" s="6603"/>
      <c r="DH117" s="6603"/>
      <c r="DI117" s="6603"/>
      <c r="DJ117" s="6603"/>
      <c r="DK117" s="6603"/>
      <c r="DL117" s="6603"/>
      <c r="DM117" s="6603"/>
      <c r="DN117" s="6603"/>
      <c r="DO117" s="6603"/>
      <c r="DP117" s="6604"/>
      <c r="DQ117" s="6602"/>
      <c r="DR117" s="6603"/>
      <c r="DS117" s="6603"/>
      <c r="DT117" s="6603"/>
      <c r="DU117" s="6603"/>
      <c r="DV117" s="6603"/>
      <c r="DW117" s="6603"/>
      <c r="DX117" s="6603"/>
      <c r="DY117" s="6603"/>
      <c r="DZ117" s="6603"/>
      <c r="EA117" s="6604"/>
      <c r="EB117" s="18872"/>
      <c r="EC117" s="18873"/>
      <c r="ED117" s="18873"/>
      <c r="EE117" s="18873"/>
      <c r="EF117" s="18873"/>
      <c r="EG117" s="18873"/>
      <c r="EH117" s="18873"/>
      <c r="EI117" s="18873"/>
      <c r="EJ117" s="18873"/>
      <c r="EK117" s="18873"/>
      <c r="EL117" s="18874"/>
      <c r="EM117" s="18872"/>
      <c r="EN117" s="18873"/>
      <c r="EO117" s="18873"/>
      <c r="EP117" s="18873"/>
      <c r="EQ117" s="18873"/>
      <c r="ER117" s="18873"/>
      <c r="ES117" s="18873"/>
      <c r="ET117" s="18873"/>
      <c r="EU117" s="18873"/>
      <c r="EV117" s="18873"/>
      <c r="EW117" s="18874"/>
      <c r="EX117" s="6604"/>
      <c r="EY117" s="7193" t="s">
        <v>439</v>
      </c>
      <c r="EZ117" s="6889"/>
      <c r="FA117" s="7194"/>
      <c r="FB117" s="7194" t="str">
        <f>IF(T117="","",T117)</f>
        <v>Территория действия тарифа</v>
      </c>
      <c r="FC117" s="7194"/>
      <c r="FD117" s="7194"/>
    </row>
    <row s="35902" customFormat="1" customHeight="1" ht="23.25">
      <c r="A118" s="7182"/>
      <c r="B118" s="7182"/>
      <c r="C118" s="7182" t="s">
        <v>289</v>
      </c>
      <c r="D118" s="7182"/>
      <c r="E118" s="7183"/>
      <c r="F118" s="7183">
        <v>1</v>
      </c>
      <c r="G118" s="7184">
        <v>1</v>
      </c>
      <c r="H118" s="7182"/>
      <c r="I118" s="7182"/>
      <c r="J118" s="7182"/>
      <c r="K118" s="7182"/>
      <c r="L118" s="7185"/>
      <c r="M118" s="7186"/>
      <c r="N118" s="7186"/>
      <c r="O118" s="7186"/>
      <c r="P118" s="7196"/>
      <c r="Q118" s="7188"/>
      <c r="R118" s="7189"/>
      <c r="S118" s="7190" t="str">
        <f>INDEX(PT_DIFFERENTIATION_NUM_CS,MATCH(C118,PT_DIFFERENTIATION_CS_ID,0))</f>
        <v>3.2.1</v>
      </c>
      <c r="T118" s="7197" t="s">
        <v>569</v>
      </c>
      <c r="U118" s="7192"/>
      <c r="V118" s="6602"/>
      <c r="W118" s="6603"/>
      <c r="X118" s="6603"/>
      <c r="Y118" s="6603"/>
      <c r="Z118" s="6603"/>
      <c r="AA118" s="6603"/>
      <c r="AB118" s="6603"/>
      <c r="AC118" s="6603"/>
      <c r="AD118" s="6603"/>
      <c r="AE118" s="6603"/>
      <c r="AF118" s="6604"/>
      <c r="AG118" s="6602" t="str">
        <f>INDEX(PT_DIFFERENTIATION_CS,MATCH(C118,PT_DIFFERENTIATION_CS_ID,0))</f>
        <v>без дифференциации</v>
      </c>
      <c r="AH118" s="6603"/>
      <c r="AI118" s="6603"/>
      <c r="AJ118" s="6603"/>
      <c r="AK118" s="6603"/>
      <c r="AL118" s="6603"/>
      <c r="AM118" s="6603"/>
      <c r="AN118" s="6603"/>
      <c r="AO118" s="6603"/>
      <c r="AP118" s="6603"/>
      <c r="AQ118" s="6603"/>
      <c r="AR118" s="6602"/>
      <c r="AS118" s="6603"/>
      <c r="AT118" s="6603"/>
      <c r="AU118" s="6603"/>
      <c r="AV118" s="6603"/>
      <c r="AW118" s="6603"/>
      <c r="AX118" s="6603"/>
      <c r="AY118" s="6603"/>
      <c r="AZ118" s="6603"/>
      <c r="BA118" s="6603"/>
      <c r="BB118" s="6604"/>
      <c r="BC118" s="6602"/>
      <c r="BD118" s="6603"/>
      <c r="BE118" s="6603"/>
      <c r="BF118" s="6603"/>
      <c r="BG118" s="6603"/>
      <c r="BH118" s="6603"/>
      <c r="BI118" s="6603"/>
      <c r="BJ118" s="6603"/>
      <c r="BK118" s="6603"/>
      <c r="BL118" s="6603"/>
      <c r="BM118" s="6604"/>
      <c r="BN118" s="6602"/>
      <c r="BO118" s="6603"/>
      <c r="BP118" s="6603"/>
      <c r="BQ118" s="6603"/>
      <c r="BR118" s="6603"/>
      <c r="BS118" s="6603"/>
      <c r="BT118" s="6603"/>
      <c r="BU118" s="6603"/>
      <c r="BV118" s="6603"/>
      <c r="BW118" s="6603"/>
      <c r="BX118" s="6604"/>
      <c r="BY118" s="6602"/>
      <c r="BZ118" s="6603"/>
      <c r="CA118" s="6603"/>
      <c r="CB118" s="6603"/>
      <c r="CC118" s="6603"/>
      <c r="CD118" s="6603"/>
      <c r="CE118" s="6603"/>
      <c r="CF118" s="6603"/>
      <c r="CG118" s="6603"/>
      <c r="CH118" s="6603"/>
      <c r="CI118" s="6604"/>
      <c r="CJ118" s="6602"/>
      <c r="CK118" s="6603"/>
      <c r="CL118" s="6603"/>
      <c r="CM118" s="6603"/>
      <c r="CN118" s="6603"/>
      <c r="CO118" s="6603"/>
      <c r="CP118" s="6603"/>
      <c r="CQ118" s="6603"/>
      <c r="CR118" s="6603"/>
      <c r="CS118" s="6603"/>
      <c r="CT118" s="6604"/>
      <c r="CU118" s="6602"/>
      <c r="CV118" s="6603"/>
      <c r="CW118" s="6603"/>
      <c r="CX118" s="6603"/>
      <c r="CY118" s="6603"/>
      <c r="CZ118" s="6603"/>
      <c r="DA118" s="6603"/>
      <c r="DB118" s="6603"/>
      <c r="DC118" s="6603"/>
      <c r="DD118" s="6603"/>
      <c r="DE118" s="6604"/>
      <c r="DF118" s="6602"/>
      <c r="DG118" s="6603"/>
      <c r="DH118" s="6603"/>
      <c r="DI118" s="6603"/>
      <c r="DJ118" s="6603"/>
      <c r="DK118" s="6603"/>
      <c r="DL118" s="6603"/>
      <c r="DM118" s="6603"/>
      <c r="DN118" s="6603"/>
      <c r="DO118" s="6603"/>
      <c r="DP118" s="6604"/>
      <c r="DQ118" s="6602"/>
      <c r="DR118" s="6603"/>
      <c r="DS118" s="6603"/>
      <c r="DT118" s="6603"/>
      <c r="DU118" s="6603"/>
      <c r="DV118" s="6603"/>
      <c r="DW118" s="6603"/>
      <c r="DX118" s="6603"/>
      <c r="DY118" s="6603"/>
      <c r="DZ118" s="6603"/>
      <c r="EA118" s="6604"/>
      <c r="EB118" s="18872"/>
      <c r="EC118" s="18873"/>
      <c r="ED118" s="18873"/>
      <c r="EE118" s="18873"/>
      <c r="EF118" s="18873"/>
      <c r="EG118" s="18873"/>
      <c r="EH118" s="18873"/>
      <c r="EI118" s="18873"/>
      <c r="EJ118" s="18873"/>
      <c r="EK118" s="18873"/>
      <c r="EL118" s="18874"/>
      <c r="EM118" s="18872"/>
      <c r="EN118" s="18873"/>
      <c r="EO118" s="18873"/>
      <c r="EP118" s="18873"/>
      <c r="EQ118" s="18873"/>
      <c r="ER118" s="18873"/>
      <c r="ES118" s="18873"/>
      <c r="ET118" s="18873"/>
      <c r="EU118" s="18873"/>
      <c r="EV118" s="18873"/>
      <c r="EW118" s="18874"/>
      <c r="EX118" s="6604"/>
      <c r="EY118" s="7193" t="s">
        <v>570</v>
      </c>
      <c r="EZ118" s="6889"/>
      <c r="FA118" s="7194"/>
      <c r="FB118" s="7194" t="str">
        <f>IF(T118="","",T118)</f>
        <v>Наименование централизованной системы горячего водоснабжения</v>
      </c>
      <c r="FC118" s="7194"/>
      <c r="FD118" s="7194"/>
    </row>
    <row s="35903" customFormat="1" customHeight="1" ht="23.25">
      <c r="A119" s="7182"/>
      <c r="B119" s="7182"/>
      <c r="C119" s="7182"/>
      <c r="D119" s="7182"/>
      <c r="E119" s="7183"/>
      <c r="F119" s="7183">
        <v>1</v>
      </c>
      <c r="G119" s="7183"/>
      <c r="H119" s="7183"/>
      <c r="I119" s="7199" t="str">
        <f>S118&amp;".1"</f>
        <v>3.2.1.1</v>
      </c>
      <c r="J119" s="7182"/>
      <c r="K119" s="7182"/>
      <c r="L119" s="7185"/>
      <c r="M119" s="7200"/>
      <c r="N119" s="7200"/>
      <c r="O119" s="7200"/>
      <c r="P119" s="7201">
        <v>1</v>
      </c>
      <c r="Q119" s="7201"/>
      <c r="R119" s="7202"/>
      <c r="S119" s="7190" t="str">
        <f>$I119</f>
        <v>3.2.1.1</v>
      </c>
      <c r="T119" s="7203" t="s">
        <v>522</v>
      </c>
      <c r="U119" s="7192"/>
      <c r="V119" s="6605"/>
      <c r="W119" s="6606"/>
      <c r="X119" s="6606"/>
      <c r="Y119" s="6606"/>
      <c r="Z119" s="6606"/>
      <c r="AA119" s="6606"/>
      <c r="AB119" s="6606"/>
      <c r="AC119" s="6606"/>
      <c r="AD119" s="6606"/>
      <c r="AE119" s="6606"/>
      <c r="AF119" s="6607"/>
      <c r="AG119" s="7204"/>
      <c r="AH119" s="7205"/>
      <c r="AI119" s="7205"/>
      <c r="AJ119" s="7205"/>
      <c r="AK119" s="7205"/>
      <c r="AL119" s="7205"/>
      <c r="AM119" s="7205"/>
      <c r="AN119" s="7205"/>
      <c r="AO119" s="7205"/>
      <c r="AP119" s="7205"/>
      <c r="AQ119" s="7205"/>
      <c r="AR119" s="6605"/>
      <c r="AS119" s="6606"/>
      <c r="AT119" s="6606"/>
      <c r="AU119" s="6606"/>
      <c r="AV119" s="6606"/>
      <c r="AW119" s="6606"/>
      <c r="AX119" s="6606"/>
      <c r="AY119" s="6606"/>
      <c r="AZ119" s="6606"/>
      <c r="BA119" s="6606"/>
      <c r="BB119" s="6607"/>
      <c r="BC119" s="6605"/>
      <c r="BD119" s="6606"/>
      <c r="BE119" s="6606"/>
      <c r="BF119" s="6606"/>
      <c r="BG119" s="6606"/>
      <c r="BH119" s="6606"/>
      <c r="BI119" s="6606"/>
      <c r="BJ119" s="6606"/>
      <c r="BK119" s="6606"/>
      <c r="BL119" s="6606"/>
      <c r="BM119" s="6607"/>
      <c r="BN119" s="6605"/>
      <c r="BO119" s="6606"/>
      <c r="BP119" s="6606"/>
      <c r="BQ119" s="6606"/>
      <c r="BR119" s="6606"/>
      <c r="BS119" s="6606"/>
      <c r="BT119" s="6606"/>
      <c r="BU119" s="6606"/>
      <c r="BV119" s="6606"/>
      <c r="BW119" s="6606"/>
      <c r="BX119" s="6607"/>
      <c r="BY119" s="6605"/>
      <c r="BZ119" s="6606"/>
      <c r="CA119" s="6606"/>
      <c r="CB119" s="6606"/>
      <c r="CC119" s="6606"/>
      <c r="CD119" s="6606"/>
      <c r="CE119" s="6606"/>
      <c r="CF119" s="6606"/>
      <c r="CG119" s="6606"/>
      <c r="CH119" s="6606"/>
      <c r="CI119" s="6607"/>
      <c r="CJ119" s="6605"/>
      <c r="CK119" s="6606"/>
      <c r="CL119" s="6606"/>
      <c r="CM119" s="6606"/>
      <c r="CN119" s="6606"/>
      <c r="CO119" s="6606"/>
      <c r="CP119" s="6606"/>
      <c r="CQ119" s="6606"/>
      <c r="CR119" s="6606"/>
      <c r="CS119" s="6606"/>
      <c r="CT119" s="6607"/>
      <c r="CU119" s="6605"/>
      <c r="CV119" s="6606"/>
      <c r="CW119" s="6606"/>
      <c r="CX119" s="6606"/>
      <c r="CY119" s="6606"/>
      <c r="CZ119" s="6606"/>
      <c r="DA119" s="6606"/>
      <c r="DB119" s="6606"/>
      <c r="DC119" s="6606"/>
      <c r="DD119" s="6606"/>
      <c r="DE119" s="6607"/>
      <c r="DF119" s="6605"/>
      <c r="DG119" s="6606"/>
      <c r="DH119" s="6606"/>
      <c r="DI119" s="6606"/>
      <c r="DJ119" s="6606"/>
      <c r="DK119" s="6606"/>
      <c r="DL119" s="6606"/>
      <c r="DM119" s="6606"/>
      <c r="DN119" s="6606"/>
      <c r="DO119" s="6606"/>
      <c r="DP119" s="6607"/>
      <c r="DQ119" s="6605"/>
      <c r="DR119" s="6606"/>
      <c r="DS119" s="6606"/>
      <c r="DT119" s="6606"/>
      <c r="DU119" s="6606"/>
      <c r="DV119" s="6606"/>
      <c r="DW119" s="6606"/>
      <c r="DX119" s="6606"/>
      <c r="DY119" s="6606"/>
      <c r="DZ119" s="6606"/>
      <c r="EA119" s="6607"/>
      <c r="EB119" s="18878"/>
      <c r="EC119" s="18879"/>
      <c r="ED119" s="18879"/>
      <c r="EE119" s="18879"/>
      <c r="EF119" s="18879"/>
      <c r="EG119" s="18879"/>
      <c r="EH119" s="18879"/>
      <c r="EI119" s="18879"/>
      <c r="EJ119" s="18879"/>
      <c r="EK119" s="18879"/>
      <c r="EL119" s="18880"/>
      <c r="EM119" s="18878"/>
      <c r="EN119" s="18879"/>
      <c r="EO119" s="18879"/>
      <c r="EP119" s="18879"/>
      <c r="EQ119" s="18879"/>
      <c r="ER119" s="18879"/>
      <c r="ES119" s="18879"/>
      <c r="ET119" s="18879"/>
      <c r="EU119" s="18879"/>
      <c r="EV119" s="18879"/>
      <c r="EW119" s="18880"/>
      <c r="EX119" s="7206"/>
      <c r="EY119" s="7193" t="s">
        <v>523</v>
      </c>
      <c r="EZ119" s="6889"/>
      <c r="FA119" s="7194"/>
      <c r="FB119" s="7194" t="str">
        <f>IF(T119="","",T119)</f>
        <v>Наименование признака дифференциации</v>
      </c>
      <c r="FC119" s="7194"/>
      <c r="FD119" s="7194"/>
    </row>
    <row s="35904" customFormat="1" customHeight="1" ht="23.25">
      <c r="A120" s="7182"/>
      <c r="B120" s="7182"/>
      <c r="C120" s="7182"/>
      <c r="D120" s="7182"/>
      <c r="E120" s="7183"/>
      <c r="F120" s="7183">
        <v>1</v>
      </c>
      <c r="G120" s="7183"/>
      <c r="H120" s="7183"/>
      <c r="I120" s="7208"/>
      <c r="J120" s="7199" t="str">
        <f>I119&amp;".1"</f>
        <v>3.2.1.1.1</v>
      </c>
      <c r="K120" s="7182"/>
      <c r="L120" s="7185" t="s">
        <v>447</v>
      </c>
      <c r="M120" s="7200"/>
      <c r="N120" s="7200"/>
      <c r="O120" s="7200"/>
      <c r="P120" s="7201"/>
      <c r="Q120" s="7201">
        <v>1</v>
      </c>
      <c r="R120" s="7209"/>
      <c r="S120" s="7190" t="str">
        <f>$J120</f>
        <v>3.2.1.1.1</v>
      </c>
      <c r="T120" s="7210" t="s">
        <v>448</v>
      </c>
      <c r="U120" s="7192"/>
      <c r="V120" s="6608"/>
      <c r="W120" s="6609"/>
      <c r="X120" s="6609"/>
      <c r="Y120" s="6609"/>
      <c r="Z120" s="6609"/>
      <c r="AA120" s="6609"/>
      <c r="AB120" s="6609"/>
      <c r="AC120" s="6609"/>
      <c r="AD120" s="6609"/>
      <c r="AE120" s="6609"/>
      <c r="AF120" s="6610"/>
      <c r="AG120" s="6608" t="s">
        <v>582</v>
      </c>
      <c r="AH120" s="6609"/>
      <c r="AI120" s="6609"/>
      <c r="AJ120" s="6609"/>
      <c r="AK120" s="6609"/>
      <c r="AL120" s="6609"/>
      <c r="AM120" s="6609"/>
      <c r="AN120" s="6609"/>
      <c r="AO120" s="6609"/>
      <c r="AP120" s="6609"/>
      <c r="AQ120" s="6609"/>
      <c r="AR120" s="6608"/>
      <c r="AS120" s="6609"/>
      <c r="AT120" s="6609"/>
      <c r="AU120" s="6609"/>
      <c r="AV120" s="6609"/>
      <c r="AW120" s="6609"/>
      <c r="AX120" s="6609"/>
      <c r="AY120" s="6609"/>
      <c r="AZ120" s="6609"/>
      <c r="BA120" s="6609"/>
      <c r="BB120" s="6610"/>
      <c r="BC120" s="6608"/>
      <c r="BD120" s="6609"/>
      <c r="BE120" s="6609"/>
      <c r="BF120" s="6609"/>
      <c r="BG120" s="6609"/>
      <c r="BH120" s="6609"/>
      <c r="BI120" s="6609"/>
      <c r="BJ120" s="6609"/>
      <c r="BK120" s="6609"/>
      <c r="BL120" s="6609"/>
      <c r="BM120" s="6610"/>
      <c r="BN120" s="6608"/>
      <c r="BO120" s="6609"/>
      <c r="BP120" s="6609"/>
      <c r="BQ120" s="6609"/>
      <c r="BR120" s="6609"/>
      <c r="BS120" s="6609"/>
      <c r="BT120" s="6609"/>
      <c r="BU120" s="6609"/>
      <c r="BV120" s="6609"/>
      <c r="BW120" s="6609"/>
      <c r="BX120" s="6610"/>
      <c r="BY120" s="6608"/>
      <c r="BZ120" s="6609"/>
      <c r="CA120" s="6609"/>
      <c r="CB120" s="6609"/>
      <c r="CC120" s="6609"/>
      <c r="CD120" s="6609"/>
      <c r="CE120" s="6609"/>
      <c r="CF120" s="6609"/>
      <c r="CG120" s="6609"/>
      <c r="CH120" s="6609"/>
      <c r="CI120" s="6610"/>
      <c r="CJ120" s="6608"/>
      <c r="CK120" s="6609"/>
      <c r="CL120" s="6609"/>
      <c r="CM120" s="6609"/>
      <c r="CN120" s="6609"/>
      <c r="CO120" s="6609"/>
      <c r="CP120" s="6609"/>
      <c r="CQ120" s="6609"/>
      <c r="CR120" s="6609"/>
      <c r="CS120" s="6609"/>
      <c r="CT120" s="6610"/>
      <c r="CU120" s="6608"/>
      <c r="CV120" s="6609"/>
      <c r="CW120" s="6609"/>
      <c r="CX120" s="6609"/>
      <c r="CY120" s="6609"/>
      <c r="CZ120" s="6609"/>
      <c r="DA120" s="6609"/>
      <c r="DB120" s="6609"/>
      <c r="DC120" s="6609"/>
      <c r="DD120" s="6609"/>
      <c r="DE120" s="6610"/>
      <c r="DF120" s="6608"/>
      <c r="DG120" s="6609"/>
      <c r="DH120" s="6609"/>
      <c r="DI120" s="6609"/>
      <c r="DJ120" s="6609"/>
      <c r="DK120" s="6609"/>
      <c r="DL120" s="6609"/>
      <c r="DM120" s="6609"/>
      <c r="DN120" s="6609"/>
      <c r="DO120" s="6609"/>
      <c r="DP120" s="6610"/>
      <c r="DQ120" s="6608"/>
      <c r="DR120" s="6609"/>
      <c r="DS120" s="6609"/>
      <c r="DT120" s="6609"/>
      <c r="DU120" s="6609"/>
      <c r="DV120" s="6609"/>
      <c r="DW120" s="6609"/>
      <c r="DX120" s="6609"/>
      <c r="DY120" s="6609"/>
      <c r="DZ120" s="6609"/>
      <c r="EA120" s="6610"/>
      <c r="EB120" s="18884"/>
      <c r="EC120" s="18885"/>
      <c r="ED120" s="18885"/>
      <c r="EE120" s="18885"/>
      <c r="EF120" s="18885"/>
      <c r="EG120" s="18885"/>
      <c r="EH120" s="18885"/>
      <c r="EI120" s="18885"/>
      <c r="EJ120" s="18885"/>
      <c r="EK120" s="18885"/>
      <c r="EL120" s="18886"/>
      <c r="EM120" s="18884"/>
      <c r="EN120" s="18885"/>
      <c r="EO120" s="18885"/>
      <c r="EP120" s="18885"/>
      <c r="EQ120" s="18885"/>
      <c r="ER120" s="18885"/>
      <c r="ES120" s="18885"/>
      <c r="ET120" s="18885"/>
      <c r="EU120" s="18885"/>
      <c r="EV120" s="18885"/>
      <c r="EW120" s="18886"/>
      <c r="EX120" s="6610"/>
      <c r="EY120" s="7211" t="s">
        <v>524</v>
      </c>
      <c r="EZ120" s="6889"/>
      <c r="FA120" s="7194"/>
      <c r="FB120" s="7194" t="str">
        <f>IF(T120="","",T120)</f>
        <v>Группа потребителей</v>
      </c>
      <c r="FC120" s="7194"/>
      <c r="FD120" s="7194"/>
    </row>
    <row s="35905" customFormat="1" customHeight="1" ht="23.25">
      <c r="A121" s="7182"/>
      <c r="B121" s="7182"/>
      <c r="C121" s="7182"/>
      <c r="D121" s="7182"/>
      <c r="E121" s="7183"/>
      <c r="F121" s="7183">
        <v>1</v>
      </c>
      <c r="G121" s="7183"/>
      <c r="H121" s="7183"/>
      <c r="I121" s="7208"/>
      <c r="J121" s="7208"/>
      <c r="K121" s="7199" t="str">
        <f>J120&amp;".1"</f>
        <v>3.2.1.1.1.1</v>
      </c>
      <c r="L121" s="7185"/>
      <c r="M121" s="7200"/>
      <c r="N121" s="7200"/>
      <c r="O121" s="7200"/>
      <c r="P121" s="7201"/>
      <c r="Q121" s="7201"/>
      <c r="R121" s="7209">
        <v>1</v>
      </c>
      <c r="S121" s="7190" t="str">
        <f>$K121</f>
        <v>3.2.1.1.1.1</v>
      </c>
      <c r="T121" s="7213"/>
      <c r="U121" s="7192"/>
      <c r="V121" s="6611"/>
      <c r="W121" s="6611"/>
      <c r="X121" s="6611"/>
      <c r="Y121" s="6611"/>
      <c r="Z121" s="6611"/>
      <c r="AA121" s="6611"/>
      <c r="AB121" s="6611"/>
      <c r="AC121" s="6612"/>
      <c r="AD121" s="6613" t="s">
        <v>66</v>
      </c>
      <c r="AE121" s="6612"/>
      <c r="AF121" s="6613" t="s">
        <v>66</v>
      </c>
      <c r="AG121" s="6611">
        <v>55.57</v>
      </c>
      <c r="AH121" s="6611"/>
      <c r="AI121" s="6611"/>
      <c r="AJ121" s="6611"/>
      <c r="AK121" s="6611">
        <v>4813.99</v>
      </c>
      <c r="AL121" s="6611"/>
      <c r="AM121" s="6611"/>
      <c r="AN121" s="18891">
        <v>44896</v>
      </c>
      <c r="AO121" s="6613" t="s">
        <v>66</v>
      </c>
      <c r="AP121" s="19294">
        <v>45291</v>
      </c>
      <c r="AQ121" s="6613" t="s">
        <v>66</v>
      </c>
      <c r="AR121" s="6611">
        <v>55.57</v>
      </c>
      <c r="AS121" s="6611"/>
      <c r="AT121" s="6611"/>
      <c r="AU121" s="6611"/>
      <c r="AV121" s="6611">
        <v>4813.99</v>
      </c>
      <c r="AW121" s="6611"/>
      <c r="AX121" s="6611"/>
      <c r="AY121" s="18891">
        <v>45292</v>
      </c>
      <c r="AZ121" s="6613" t="s">
        <v>66</v>
      </c>
      <c r="BA121" s="18891">
        <v>45473</v>
      </c>
      <c r="BB121" s="6613" t="s">
        <v>66</v>
      </c>
      <c r="BC121" s="6611">
        <v>68.27</v>
      </c>
      <c r="BD121" s="6611"/>
      <c r="BE121" s="6611"/>
      <c r="BF121" s="6611"/>
      <c r="BG121" s="6611">
        <v>5290.58</v>
      </c>
      <c r="BH121" s="6611"/>
      <c r="BI121" s="6611"/>
      <c r="BJ121" s="18891">
        <v>45474</v>
      </c>
      <c r="BK121" s="6613" t="s">
        <v>66</v>
      </c>
      <c r="BL121" s="18891">
        <v>45657</v>
      </c>
      <c r="BM121" s="6613" t="s">
        <v>66</v>
      </c>
      <c r="BN121" s="6611">
        <v>57.47</v>
      </c>
      <c r="BO121" s="6611"/>
      <c r="BP121" s="6611"/>
      <c r="BQ121" s="6611"/>
      <c r="BR121" s="6611">
        <v>5040.25</v>
      </c>
      <c r="BS121" s="6611"/>
      <c r="BT121" s="6611"/>
      <c r="BU121" s="18891">
        <v>45658</v>
      </c>
      <c r="BV121" s="6613" t="s">
        <v>66</v>
      </c>
      <c r="BW121" s="18891">
        <v>45838</v>
      </c>
      <c r="BX121" s="6613" t="s">
        <v>66</v>
      </c>
      <c r="BY121" s="6611">
        <v>59.77</v>
      </c>
      <c r="BZ121" s="6611"/>
      <c r="CA121" s="6611"/>
      <c r="CB121" s="6611"/>
      <c r="CC121" s="6611">
        <v>5241.86</v>
      </c>
      <c r="CD121" s="6611"/>
      <c r="CE121" s="6611"/>
      <c r="CF121" s="18891">
        <v>45839</v>
      </c>
      <c r="CG121" s="6613" t="s">
        <v>66</v>
      </c>
      <c r="CH121" s="18891">
        <v>46022</v>
      </c>
      <c r="CI121" s="6613" t="s">
        <v>66</v>
      </c>
      <c r="CJ121" s="6611">
        <v>59.77</v>
      </c>
      <c r="CK121" s="6611"/>
      <c r="CL121" s="6611"/>
      <c r="CM121" s="6611"/>
      <c r="CN121" s="6611">
        <v>5241.86</v>
      </c>
      <c r="CO121" s="6611"/>
      <c r="CP121" s="6611"/>
      <c r="CQ121" s="18891">
        <v>46023</v>
      </c>
      <c r="CR121" s="6613" t="s">
        <v>66</v>
      </c>
      <c r="CS121" s="18891">
        <v>46203</v>
      </c>
      <c r="CT121" s="6613" t="s">
        <v>66</v>
      </c>
      <c r="CU121" s="6611">
        <v>62.58</v>
      </c>
      <c r="CV121" s="6611"/>
      <c r="CW121" s="6611"/>
      <c r="CX121" s="6611"/>
      <c r="CY121" s="6611">
        <v>5451.53</v>
      </c>
      <c r="CZ121" s="6611"/>
      <c r="DA121" s="6611"/>
      <c r="DB121" s="18891">
        <v>46204</v>
      </c>
      <c r="DC121" s="6613" t="s">
        <v>66</v>
      </c>
      <c r="DD121" s="18891">
        <v>46387</v>
      </c>
      <c r="DE121" s="6613" t="s">
        <v>66</v>
      </c>
      <c r="DF121" s="6611">
        <v>62.58</v>
      </c>
      <c r="DG121" s="6611"/>
      <c r="DH121" s="6611"/>
      <c r="DI121" s="6611"/>
      <c r="DJ121" s="6611">
        <v>5451.53</v>
      </c>
      <c r="DK121" s="6611"/>
      <c r="DL121" s="6611"/>
      <c r="DM121" s="18891">
        <v>46388</v>
      </c>
      <c r="DN121" s="6613" t="s">
        <v>66</v>
      </c>
      <c r="DO121" s="18891">
        <v>46568</v>
      </c>
      <c r="DP121" s="6613" t="s">
        <v>66</v>
      </c>
      <c r="DQ121" s="6611">
        <v>65.52</v>
      </c>
      <c r="DR121" s="6611"/>
      <c r="DS121" s="6611"/>
      <c r="DT121" s="6611"/>
      <c r="DU121" s="6611">
        <v>5669.59</v>
      </c>
      <c r="DV121" s="6611"/>
      <c r="DW121" s="6611"/>
      <c r="DX121" s="18891">
        <v>46569</v>
      </c>
      <c r="DY121" s="6613" t="s">
        <v>66</v>
      </c>
      <c r="DZ121" s="18891">
        <v>46752</v>
      </c>
      <c r="EA121" s="6613" t="s">
        <v>66</v>
      </c>
      <c r="EB121" s="18890">
        <v>68.52</v>
      </c>
      <c r="EC121" s="18890"/>
      <c r="ED121" s="18890"/>
      <c r="EE121" s="18890"/>
      <c r="EF121" s="18890">
        <v>5669.59</v>
      </c>
      <c r="EG121" s="18890"/>
      <c r="EH121" s="18890"/>
      <c r="EI121" s="18891">
        <v>46753</v>
      </c>
      <c r="EJ121" s="18892" t="s">
        <v>66</v>
      </c>
      <c r="EK121" s="18891">
        <v>46934</v>
      </c>
      <c r="EL121" s="18892" t="s">
        <v>66</v>
      </c>
      <c r="EM121" s="18890">
        <v>68.6</v>
      </c>
      <c r="EN121" s="18890"/>
      <c r="EO121" s="18890"/>
      <c r="EP121" s="18890"/>
      <c r="EQ121" s="18890">
        <v>5878.83</v>
      </c>
      <c r="ER121" s="18890"/>
      <c r="ES121" s="18890"/>
      <c r="ET121" s="18891">
        <v>46935</v>
      </c>
      <c r="EU121" s="18892" t="s">
        <v>66</v>
      </c>
      <c r="EV121" s="18891">
        <v>47118</v>
      </c>
      <c r="EW121" s="18892" t="s">
        <v>66</v>
      </c>
      <c r="EX121" s="7214"/>
      <c r="EY121" s="72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Z121" s="6889">
        <f>STRCHECKDATE(V122:EX122)</f>
      </c>
      <c r="FA121" s="7194"/>
      <c r="FB121" s="7194" t="str">
        <f>IF(T121="","",T121)</f>
        <v/>
      </c>
      <c r="FC121" s="7194"/>
      <c r="FD121" s="7194"/>
    </row>
    <row s="35906" customFormat="1" customHeight="1" ht="14.25">
      <c r="A122" s="7182"/>
      <c r="B122" s="7182"/>
      <c r="C122" s="7182"/>
      <c r="D122" s="7182"/>
      <c r="E122" s="7183"/>
      <c r="F122" s="7183">
        <v>1</v>
      </c>
      <c r="G122" s="7183"/>
      <c r="H122" s="7183"/>
      <c r="I122" s="7208"/>
      <c r="J122" s="7208"/>
      <c r="K122" s="7199"/>
      <c r="L122" s="7185"/>
      <c r="M122" s="7200"/>
      <c r="N122" s="7200"/>
      <c r="O122" s="7200"/>
      <c r="P122" s="7201"/>
      <c r="Q122" s="7201"/>
      <c r="R122" s="7209"/>
      <c r="S122" s="7217"/>
      <c r="T122" s="7192"/>
      <c r="U122" s="7192"/>
      <c r="V122" s="6614"/>
      <c r="W122" s="6614"/>
      <c r="X122" s="6614"/>
      <c r="Y122" s="6614"/>
      <c r="Z122" s="6614"/>
      <c r="AA122" s="6614"/>
      <c r="AB122" s="6614"/>
      <c r="AC122" s="6615"/>
      <c r="AD122" s="6613"/>
      <c r="AE122" s="6615"/>
      <c r="AF122" s="6613"/>
      <c r="AG122" s="6614"/>
      <c r="AH122" s="6614"/>
      <c r="AI122" s="6614"/>
      <c r="AJ122" s="6614"/>
      <c r="AK122" s="6614"/>
      <c r="AL122" s="6614"/>
      <c r="AM122" s="6614"/>
      <c r="AN122" s="6615"/>
      <c r="AO122" s="6613"/>
      <c r="AP122" s="6916"/>
      <c r="AQ122" s="6613"/>
      <c r="AR122" s="6614"/>
      <c r="AS122" s="6614"/>
      <c r="AT122" s="6614"/>
      <c r="AU122" s="6614"/>
      <c r="AV122" s="6614"/>
      <c r="AW122" s="6614"/>
      <c r="AX122" s="6614"/>
      <c r="AY122" s="6615"/>
      <c r="AZ122" s="6613"/>
      <c r="BA122" s="6615"/>
      <c r="BB122" s="6613"/>
      <c r="BC122" s="6614"/>
      <c r="BD122" s="6614"/>
      <c r="BE122" s="6614"/>
      <c r="BF122" s="6614"/>
      <c r="BG122" s="6614"/>
      <c r="BH122" s="6614"/>
      <c r="BI122" s="6614"/>
      <c r="BJ122" s="6615"/>
      <c r="BK122" s="6613"/>
      <c r="BL122" s="6615"/>
      <c r="BM122" s="6613"/>
      <c r="BN122" s="6614"/>
      <c r="BO122" s="6614"/>
      <c r="BP122" s="6614"/>
      <c r="BQ122" s="6614"/>
      <c r="BR122" s="6614"/>
      <c r="BS122" s="6614"/>
      <c r="BT122" s="6614"/>
      <c r="BU122" s="6615"/>
      <c r="BV122" s="6613"/>
      <c r="BW122" s="6615"/>
      <c r="BX122" s="6613"/>
      <c r="BY122" s="6614"/>
      <c r="BZ122" s="6614"/>
      <c r="CA122" s="6614"/>
      <c r="CB122" s="6614"/>
      <c r="CC122" s="6614"/>
      <c r="CD122" s="6614"/>
      <c r="CE122" s="6614"/>
      <c r="CF122" s="6615"/>
      <c r="CG122" s="6613"/>
      <c r="CH122" s="6615"/>
      <c r="CI122" s="6613"/>
      <c r="CJ122" s="6614"/>
      <c r="CK122" s="6614"/>
      <c r="CL122" s="6614"/>
      <c r="CM122" s="6614"/>
      <c r="CN122" s="6614"/>
      <c r="CO122" s="6614"/>
      <c r="CP122" s="6614"/>
      <c r="CQ122" s="6615"/>
      <c r="CR122" s="6613"/>
      <c r="CS122" s="6615"/>
      <c r="CT122" s="6613"/>
      <c r="CU122" s="6614"/>
      <c r="CV122" s="6614"/>
      <c r="CW122" s="6614"/>
      <c r="CX122" s="6614"/>
      <c r="CY122" s="6614"/>
      <c r="CZ122" s="6614"/>
      <c r="DA122" s="6614"/>
      <c r="DB122" s="6615"/>
      <c r="DC122" s="6613"/>
      <c r="DD122" s="6615"/>
      <c r="DE122" s="6613"/>
      <c r="DF122" s="6614"/>
      <c r="DG122" s="6614"/>
      <c r="DH122" s="6614"/>
      <c r="DI122" s="6614"/>
      <c r="DJ122" s="6614"/>
      <c r="DK122" s="6614"/>
      <c r="DL122" s="6614"/>
      <c r="DM122" s="6615"/>
      <c r="DN122" s="6613"/>
      <c r="DO122" s="6615"/>
      <c r="DP122" s="6613"/>
      <c r="DQ122" s="6614"/>
      <c r="DR122" s="6614"/>
      <c r="DS122" s="6614"/>
      <c r="DT122" s="6614"/>
      <c r="DU122" s="6614"/>
      <c r="DV122" s="6614"/>
      <c r="DW122" s="6614"/>
      <c r="DX122" s="6615"/>
      <c r="DY122" s="6613"/>
      <c r="DZ122" s="6615"/>
      <c r="EA122" s="6613"/>
      <c r="EB122" s="18895"/>
      <c r="EC122" s="18895"/>
      <c r="ED122" s="18895"/>
      <c r="EE122" s="18895"/>
      <c r="EF122" s="18895"/>
      <c r="EG122" s="18895"/>
      <c r="EH122" s="18895"/>
      <c r="EI122" s="18896"/>
      <c r="EJ122" s="18892"/>
      <c r="EK122" s="18896"/>
      <c r="EL122" s="18892"/>
      <c r="EM122" s="18895"/>
      <c r="EN122" s="18895"/>
      <c r="EO122" s="18895"/>
      <c r="EP122" s="18895"/>
      <c r="EQ122" s="18895"/>
      <c r="ER122" s="18895"/>
      <c r="ES122" s="18895"/>
      <c r="ET122" s="18896"/>
      <c r="EU122" s="18892"/>
      <c r="EV122" s="18896"/>
      <c r="EW122" s="18892"/>
      <c r="EX122" s="7218"/>
      <c r="EY122" s="7215"/>
      <c r="EZ122" s="6889"/>
      <c r="FA122" s="7194"/>
      <c r="FB122" s="7194" t="str">
        <f>IF(T122="","",T122)</f>
        <v/>
      </c>
      <c r="FC122" s="7194"/>
      <c r="FD122" s="7194"/>
    </row>
    <row s="35907" customFormat="1" customHeight="1" ht="21">
      <c r="A123" s="7182"/>
      <c r="B123" s="7182"/>
      <c r="C123" s="7182"/>
      <c r="D123" s="7182"/>
      <c r="E123" s="7183"/>
      <c r="F123" s="7183">
        <v>1</v>
      </c>
      <c r="G123" s="7183"/>
      <c r="H123" s="7183"/>
      <c r="I123" s="7208"/>
      <c r="J123" s="7199"/>
      <c r="K123" s="7182"/>
      <c r="L123" s="7185"/>
      <c r="M123" s="7200"/>
      <c r="N123" s="7200"/>
      <c r="O123" s="7200"/>
      <c r="P123" s="7201"/>
      <c r="Q123" s="7201"/>
      <c r="R123" s="7202"/>
      <c r="S123" s="9359"/>
      <c r="T123" s="9360" t="s">
        <v>525</v>
      </c>
      <c r="U123" s="9361"/>
      <c r="V123" s="9362"/>
      <c r="W123" s="9363"/>
      <c r="X123" s="9364"/>
      <c r="Y123" s="9365"/>
      <c r="Z123" s="9366"/>
      <c r="AA123" s="9367"/>
      <c r="AB123" s="9368"/>
      <c r="AC123" s="9369"/>
      <c r="AD123" s="9370"/>
      <c r="AE123" s="9371"/>
      <c r="AF123" s="9372"/>
      <c r="AG123" s="9373"/>
      <c r="AH123" s="9374"/>
      <c r="AI123" s="9375"/>
      <c r="AJ123" s="9376"/>
      <c r="AK123" s="9377"/>
      <c r="AL123" s="9378"/>
      <c r="AM123" s="9379"/>
      <c r="AN123" s="9380"/>
      <c r="AO123" s="9381"/>
      <c r="AP123" s="9382"/>
      <c r="AQ123" s="9383"/>
      <c r="AR123" s="9384"/>
      <c r="AS123" s="9385"/>
      <c r="AT123" s="9386"/>
      <c r="AU123" s="9387"/>
      <c r="AV123" s="9388"/>
      <c r="AW123" s="9389"/>
      <c r="AX123" s="9390"/>
      <c r="AY123" s="9391"/>
      <c r="AZ123" s="9392"/>
      <c r="BA123" s="9393"/>
      <c r="BB123" s="9394"/>
      <c r="BC123" s="9395"/>
      <c r="BD123" s="9396"/>
      <c r="BE123" s="9397"/>
      <c r="BF123" s="9398"/>
      <c r="BG123" s="9399"/>
      <c r="BH123" s="9400"/>
      <c r="BI123" s="9401"/>
      <c r="BJ123" s="9402"/>
      <c r="BK123" s="9403"/>
      <c r="BL123" s="9404"/>
      <c r="BM123" s="9405"/>
      <c r="BN123" s="9406"/>
      <c r="BO123" s="9407"/>
      <c r="BP123" s="9408"/>
      <c r="BQ123" s="9409"/>
      <c r="BR123" s="9410"/>
      <c r="BS123" s="9411"/>
      <c r="BT123" s="9412"/>
      <c r="BU123" s="9413"/>
      <c r="BV123" s="9414"/>
      <c r="BW123" s="9415"/>
      <c r="BX123" s="9416"/>
      <c r="BY123" s="9417"/>
      <c r="BZ123" s="9418"/>
      <c r="CA123" s="9419"/>
      <c r="CB123" s="9420"/>
      <c r="CC123" s="9421"/>
      <c r="CD123" s="9422"/>
      <c r="CE123" s="9423"/>
      <c r="CF123" s="9424"/>
      <c r="CG123" s="9425"/>
      <c r="CH123" s="9426"/>
      <c r="CI123" s="9427"/>
      <c r="CJ123" s="9428"/>
      <c r="CK123" s="9429"/>
      <c r="CL123" s="9430"/>
      <c r="CM123" s="9431"/>
      <c r="CN123" s="9432"/>
      <c r="CO123" s="9433"/>
      <c r="CP123" s="9434"/>
      <c r="CQ123" s="9435"/>
      <c r="CR123" s="9436"/>
      <c r="CS123" s="9437"/>
      <c r="CT123" s="9438"/>
      <c r="CU123" s="9439"/>
      <c r="CV123" s="9440"/>
      <c r="CW123" s="9441"/>
      <c r="CX123" s="9442"/>
      <c r="CY123" s="9443"/>
      <c r="CZ123" s="9444"/>
      <c r="DA123" s="9445"/>
      <c r="DB123" s="9446"/>
      <c r="DC123" s="9447"/>
      <c r="DD123" s="9448"/>
      <c r="DE123" s="9449"/>
      <c r="DF123" s="9450"/>
      <c r="DG123" s="9451"/>
      <c r="DH123" s="9452"/>
      <c r="DI123" s="9453"/>
      <c r="DJ123" s="9454"/>
      <c r="DK123" s="9455"/>
      <c r="DL123" s="9456"/>
      <c r="DM123" s="9457"/>
      <c r="DN123" s="9458"/>
      <c r="DO123" s="9459"/>
      <c r="DP123" s="9460"/>
      <c r="DQ123" s="9461"/>
      <c r="DR123" s="9462"/>
      <c r="DS123" s="9463"/>
      <c r="DT123" s="9464"/>
      <c r="DU123" s="9465"/>
      <c r="DV123" s="9466"/>
      <c r="DW123" s="9467"/>
      <c r="DX123" s="9468"/>
      <c r="DY123" s="9469"/>
      <c r="DZ123" s="9470"/>
      <c r="EA123" s="9471"/>
      <c r="EB123" s="22314"/>
      <c r="EC123" s="22315"/>
      <c r="ED123" s="22316"/>
      <c r="EE123" s="22317"/>
      <c r="EF123" s="22318"/>
      <c r="EG123" s="22319"/>
      <c r="EH123" s="22320"/>
      <c r="EI123" s="22321"/>
      <c r="EJ123" s="22322"/>
      <c r="EK123" s="22323"/>
      <c r="EL123" s="22324"/>
      <c r="EM123" s="22325"/>
      <c r="EN123" s="22326"/>
      <c r="EO123" s="22327"/>
      <c r="EP123" s="22328"/>
      <c r="EQ123" s="22329"/>
      <c r="ER123" s="22330"/>
      <c r="ES123" s="22331"/>
      <c r="ET123" s="22332"/>
      <c r="EU123" s="22333"/>
      <c r="EV123" s="22334"/>
      <c r="EW123" s="22335"/>
      <c r="EX123" s="9472"/>
      <c r="EY123" s="7193" t="s">
        <v>526</v>
      </c>
      <c r="EZ123" s="6889"/>
      <c r="FA123" s="7194"/>
      <c r="FB123" s="7194" t="str">
        <f>IF(T123="","",T123)</f>
        <v>Добавить значение признака дифференциации</v>
      </c>
      <c r="FC123" s="7194"/>
      <c r="FD123" s="7194"/>
    </row>
    <row s="36044" customFormat="1" customHeight="1" ht="21">
      <c r="A124" s="7182"/>
      <c r="B124" s="7182"/>
      <c r="C124" s="7182"/>
      <c r="D124" s="7182"/>
      <c r="E124" s="7183"/>
      <c r="F124" s="7183">
        <v>1</v>
      </c>
      <c r="G124" s="7183"/>
      <c r="H124" s="7183"/>
      <c r="I124" s="7199"/>
      <c r="J124" s="7182"/>
      <c r="K124" s="7182"/>
      <c r="L124" s="7185"/>
      <c r="M124" s="7200"/>
      <c r="N124" s="7200"/>
      <c r="O124" s="7200"/>
      <c r="P124" s="7201"/>
      <c r="Q124" s="7201"/>
      <c r="R124" s="7202"/>
      <c r="S124" s="9474"/>
      <c r="T124" s="9475" t="s">
        <v>453</v>
      </c>
      <c r="U124" s="9476"/>
      <c r="V124" s="9477"/>
      <c r="W124" s="9478"/>
      <c r="X124" s="9479"/>
      <c r="Y124" s="9480"/>
      <c r="Z124" s="9481"/>
      <c r="AA124" s="9482"/>
      <c r="AB124" s="9483"/>
      <c r="AC124" s="9484"/>
      <c r="AD124" s="9485"/>
      <c r="AE124" s="9486"/>
      <c r="AF124" s="9487"/>
      <c r="AG124" s="9488"/>
      <c r="AH124" s="9489"/>
      <c r="AI124" s="9490"/>
      <c r="AJ124" s="9491"/>
      <c r="AK124" s="9492"/>
      <c r="AL124" s="9493"/>
      <c r="AM124" s="9494"/>
      <c r="AN124" s="9495"/>
      <c r="AO124" s="9496"/>
      <c r="AP124" s="9497"/>
      <c r="AQ124" s="9498"/>
      <c r="AR124" s="9499"/>
      <c r="AS124" s="9500"/>
      <c r="AT124" s="9501"/>
      <c r="AU124" s="9502"/>
      <c r="AV124" s="9503"/>
      <c r="AW124" s="9504"/>
      <c r="AX124" s="9505"/>
      <c r="AY124" s="9506"/>
      <c r="AZ124" s="9507"/>
      <c r="BA124" s="9508"/>
      <c r="BB124" s="9509"/>
      <c r="BC124" s="9510"/>
      <c r="BD124" s="9511"/>
      <c r="BE124" s="9512"/>
      <c r="BF124" s="9513"/>
      <c r="BG124" s="9514"/>
      <c r="BH124" s="9515"/>
      <c r="BI124" s="9516"/>
      <c r="BJ124" s="9517"/>
      <c r="BK124" s="9518"/>
      <c r="BL124" s="9519"/>
      <c r="BM124" s="9520"/>
      <c r="BN124" s="9521"/>
      <c r="BO124" s="9522"/>
      <c r="BP124" s="9523"/>
      <c r="BQ124" s="9524"/>
      <c r="BR124" s="9525"/>
      <c r="BS124" s="9526"/>
      <c r="BT124" s="9527"/>
      <c r="BU124" s="9528"/>
      <c r="BV124" s="9529"/>
      <c r="BW124" s="9530"/>
      <c r="BX124" s="9531"/>
      <c r="BY124" s="9532"/>
      <c r="BZ124" s="9533"/>
      <c r="CA124" s="9534"/>
      <c r="CB124" s="9535"/>
      <c r="CC124" s="9536"/>
      <c r="CD124" s="9537"/>
      <c r="CE124" s="9538"/>
      <c r="CF124" s="9539"/>
      <c r="CG124" s="9540"/>
      <c r="CH124" s="9541"/>
      <c r="CI124" s="9542"/>
      <c r="CJ124" s="9543"/>
      <c r="CK124" s="9544"/>
      <c r="CL124" s="9545"/>
      <c r="CM124" s="9546"/>
      <c r="CN124" s="9547"/>
      <c r="CO124" s="9548"/>
      <c r="CP124" s="9549"/>
      <c r="CQ124" s="9550"/>
      <c r="CR124" s="9551"/>
      <c r="CS124" s="9552"/>
      <c r="CT124" s="9553"/>
      <c r="CU124" s="9554"/>
      <c r="CV124" s="9555"/>
      <c r="CW124" s="9556"/>
      <c r="CX124" s="9557"/>
      <c r="CY124" s="9558"/>
      <c r="CZ124" s="9559"/>
      <c r="DA124" s="9560"/>
      <c r="DB124" s="9561"/>
      <c r="DC124" s="9562"/>
      <c r="DD124" s="9563"/>
      <c r="DE124" s="9564"/>
      <c r="DF124" s="9565"/>
      <c r="DG124" s="9566"/>
      <c r="DH124" s="9567"/>
      <c r="DI124" s="9568"/>
      <c r="DJ124" s="9569"/>
      <c r="DK124" s="9570"/>
      <c r="DL124" s="9571"/>
      <c r="DM124" s="9572"/>
      <c r="DN124" s="9573"/>
      <c r="DO124" s="9574"/>
      <c r="DP124" s="9575"/>
      <c r="DQ124" s="9576"/>
      <c r="DR124" s="9577"/>
      <c r="DS124" s="9578"/>
      <c r="DT124" s="9579"/>
      <c r="DU124" s="9580"/>
      <c r="DV124" s="9581"/>
      <c r="DW124" s="9582"/>
      <c r="DX124" s="9583"/>
      <c r="DY124" s="9584"/>
      <c r="DZ124" s="9585"/>
      <c r="EA124" s="9586"/>
      <c r="EB124" s="22451"/>
      <c r="EC124" s="22452"/>
      <c r="ED124" s="22453"/>
      <c r="EE124" s="22454"/>
      <c r="EF124" s="22455"/>
      <c r="EG124" s="22456"/>
      <c r="EH124" s="22457"/>
      <c r="EI124" s="22458"/>
      <c r="EJ124" s="22459"/>
      <c r="EK124" s="22460"/>
      <c r="EL124" s="22461"/>
      <c r="EM124" s="22462"/>
      <c r="EN124" s="22463"/>
      <c r="EO124" s="22464"/>
      <c r="EP124" s="22465"/>
      <c r="EQ124" s="22466"/>
      <c r="ER124" s="22467"/>
      <c r="ES124" s="22468"/>
      <c r="ET124" s="22469"/>
      <c r="EU124" s="22470"/>
      <c r="EV124" s="22471"/>
      <c r="EW124" s="22472"/>
      <c r="EX124" s="9587"/>
      <c r="EY124" s="9588"/>
      <c r="EZ124" s="6889"/>
      <c r="FA124" s="7194"/>
      <c r="FB124" s="7194" t="str">
        <f>IF(T124="","",T124)</f>
        <v>Добавить группу потребителей</v>
      </c>
      <c r="FC124" s="7194"/>
      <c r="FD124" s="7194"/>
    </row>
    <row s="36182" customFormat="1" customHeight="1" ht="21">
      <c r="A125" s="7182"/>
      <c r="B125" s="7182"/>
      <c r="C125" s="7182"/>
      <c r="D125" s="7182"/>
      <c r="E125" s="7183"/>
      <c r="F125" s="7183">
        <v>1</v>
      </c>
      <c r="G125" s="7183"/>
      <c r="H125" s="7184"/>
      <c r="I125" s="7182"/>
      <c r="J125" s="7182"/>
      <c r="K125" s="7182"/>
      <c r="L125" s="7185"/>
      <c r="M125" s="7186"/>
      <c r="N125" s="7186"/>
      <c r="O125" s="6881"/>
      <c r="P125" s="7451"/>
      <c r="Q125" s="7452"/>
      <c r="R125" s="7453"/>
      <c r="S125" s="9590"/>
      <c r="T125" s="9591" t="s">
        <v>527</v>
      </c>
      <c r="U125" s="9592"/>
      <c r="V125" s="9593"/>
      <c r="W125" s="9594"/>
      <c r="X125" s="9595"/>
      <c r="Y125" s="9596"/>
      <c r="Z125" s="9597"/>
      <c r="AA125" s="9598"/>
      <c r="AB125" s="9599"/>
      <c r="AC125" s="9600"/>
      <c r="AD125" s="9601"/>
      <c r="AE125" s="9602"/>
      <c r="AF125" s="9603"/>
      <c r="AG125" s="9604"/>
      <c r="AH125" s="9605"/>
      <c r="AI125" s="9606"/>
      <c r="AJ125" s="9607"/>
      <c r="AK125" s="9608"/>
      <c r="AL125" s="9609"/>
      <c r="AM125" s="9610"/>
      <c r="AN125" s="9611"/>
      <c r="AO125" s="9612"/>
      <c r="AP125" s="9613"/>
      <c r="AQ125" s="9614"/>
      <c r="AR125" s="9615"/>
      <c r="AS125" s="9616"/>
      <c r="AT125" s="9617"/>
      <c r="AU125" s="9618"/>
      <c r="AV125" s="9619"/>
      <c r="AW125" s="9620"/>
      <c r="AX125" s="9621"/>
      <c r="AY125" s="9622"/>
      <c r="AZ125" s="9623"/>
      <c r="BA125" s="9624"/>
      <c r="BB125" s="9625"/>
      <c r="BC125" s="9626"/>
      <c r="BD125" s="9627"/>
      <c r="BE125" s="9628"/>
      <c r="BF125" s="9629"/>
      <c r="BG125" s="9630"/>
      <c r="BH125" s="9631"/>
      <c r="BI125" s="9632"/>
      <c r="BJ125" s="9633"/>
      <c r="BK125" s="9634"/>
      <c r="BL125" s="9635"/>
      <c r="BM125" s="9636"/>
      <c r="BN125" s="9637"/>
      <c r="BO125" s="9638"/>
      <c r="BP125" s="9639"/>
      <c r="BQ125" s="9640"/>
      <c r="BR125" s="9641"/>
      <c r="BS125" s="9642"/>
      <c r="BT125" s="9643"/>
      <c r="BU125" s="9644"/>
      <c r="BV125" s="9645"/>
      <c r="BW125" s="9646"/>
      <c r="BX125" s="9647"/>
      <c r="BY125" s="9648"/>
      <c r="BZ125" s="9649"/>
      <c r="CA125" s="9650"/>
      <c r="CB125" s="9651"/>
      <c r="CC125" s="9652"/>
      <c r="CD125" s="9653"/>
      <c r="CE125" s="9654"/>
      <c r="CF125" s="9655"/>
      <c r="CG125" s="9656"/>
      <c r="CH125" s="9657"/>
      <c r="CI125" s="9658"/>
      <c r="CJ125" s="9659"/>
      <c r="CK125" s="9660"/>
      <c r="CL125" s="9661"/>
      <c r="CM125" s="9662"/>
      <c r="CN125" s="9663"/>
      <c r="CO125" s="9664"/>
      <c r="CP125" s="9665"/>
      <c r="CQ125" s="9666"/>
      <c r="CR125" s="9667"/>
      <c r="CS125" s="9668"/>
      <c r="CT125" s="9669"/>
      <c r="CU125" s="9670"/>
      <c r="CV125" s="9671"/>
      <c r="CW125" s="9672"/>
      <c r="CX125" s="9673"/>
      <c r="CY125" s="9674"/>
      <c r="CZ125" s="9675"/>
      <c r="DA125" s="9676"/>
      <c r="DB125" s="9677"/>
      <c r="DC125" s="9678"/>
      <c r="DD125" s="9679"/>
      <c r="DE125" s="9680"/>
      <c r="DF125" s="9681"/>
      <c r="DG125" s="9682"/>
      <c r="DH125" s="9683"/>
      <c r="DI125" s="9684"/>
      <c r="DJ125" s="9685"/>
      <c r="DK125" s="9686"/>
      <c r="DL125" s="9687"/>
      <c r="DM125" s="9688"/>
      <c r="DN125" s="9689"/>
      <c r="DO125" s="9690"/>
      <c r="DP125" s="9691"/>
      <c r="DQ125" s="9692"/>
      <c r="DR125" s="9693"/>
      <c r="DS125" s="9694"/>
      <c r="DT125" s="9695"/>
      <c r="DU125" s="9696"/>
      <c r="DV125" s="9697"/>
      <c r="DW125" s="9698"/>
      <c r="DX125" s="9699"/>
      <c r="DY125" s="9700"/>
      <c r="DZ125" s="9701"/>
      <c r="EA125" s="9702"/>
      <c r="EB125" s="22589"/>
      <c r="EC125" s="22590"/>
      <c r="ED125" s="22591"/>
      <c r="EE125" s="22592"/>
      <c r="EF125" s="22593"/>
      <c r="EG125" s="22594"/>
      <c r="EH125" s="22595"/>
      <c r="EI125" s="22596"/>
      <c r="EJ125" s="22597"/>
      <c r="EK125" s="22598"/>
      <c r="EL125" s="22599"/>
      <c r="EM125" s="22600"/>
      <c r="EN125" s="22601"/>
      <c r="EO125" s="22602"/>
      <c r="EP125" s="22603"/>
      <c r="EQ125" s="22604"/>
      <c r="ER125" s="22605"/>
      <c r="ES125" s="22606"/>
      <c r="ET125" s="22607"/>
      <c r="EU125" s="22608"/>
      <c r="EV125" s="22609"/>
      <c r="EW125" s="22610"/>
      <c r="EX125" s="9703"/>
      <c r="EY125" s="9704"/>
      <c r="EZ125" s="6889"/>
      <c r="FA125" s="7194"/>
      <c r="FB125" s="7194" t="str">
        <f>IF(T125="","",T125)</f>
        <v>Добавить наименование признака дифференциации</v>
      </c>
      <c r="FC125" s="7194"/>
      <c r="FD125" s="7194"/>
    </row>
    <row s="36320" customFormat="1" customHeight="1" ht="14.25">
      <c r="A126" s="7570"/>
      <c r="B126" s="7570"/>
      <c r="C126" s="7570"/>
      <c r="D126" s="7570"/>
      <c r="E126" s="7183"/>
      <c r="F126" s="7184">
        <v>1</v>
      </c>
      <c r="G126" s="7570"/>
      <c r="H126" s="7570"/>
      <c r="I126" s="7570"/>
      <c r="J126" s="7570"/>
      <c r="K126" s="7570"/>
      <c r="L126" s="7571"/>
      <c r="M126" s="7572"/>
      <c r="N126" s="7572"/>
      <c r="O126" s="6889"/>
      <c r="P126" s="7573"/>
      <c r="Q126" s="7574"/>
      <c r="R126" s="7573"/>
      <c r="S126" s="7575"/>
      <c r="T126" s="7576" t="s">
        <v>262</v>
      </c>
      <c r="U126" s="6880"/>
      <c r="V126" s="6880"/>
      <c r="W126" s="6880"/>
      <c r="X126" s="6880"/>
      <c r="Y126" s="6880"/>
      <c r="Z126" s="6880"/>
      <c r="AA126" s="6880"/>
      <c r="AB126" s="6880"/>
      <c r="AC126" s="6880"/>
      <c r="AD126" s="6880"/>
      <c r="AE126" s="6880"/>
      <c r="AF126" s="6880"/>
      <c r="AG126" s="6880"/>
      <c r="AH126" s="6880"/>
      <c r="AI126" s="6880"/>
      <c r="AJ126" s="6880"/>
      <c r="AK126" s="6880"/>
      <c r="AL126" s="6880"/>
      <c r="AM126" s="6880"/>
      <c r="AN126" s="6880"/>
      <c r="AO126" s="6880"/>
      <c r="AP126" s="6880"/>
      <c r="AQ126" s="6880"/>
      <c r="AR126" s="6880"/>
      <c r="AS126" s="6880"/>
      <c r="AT126" s="6880"/>
      <c r="AU126" s="6880"/>
      <c r="AV126" s="6880"/>
      <c r="AW126" s="6880"/>
      <c r="AX126" s="6880"/>
      <c r="AY126" s="6880"/>
      <c r="AZ126" s="6880"/>
      <c r="BA126" s="6880"/>
      <c r="BB126" s="6880"/>
      <c r="BC126" s="6880"/>
      <c r="BD126" s="6880"/>
      <c r="BE126" s="6880"/>
      <c r="BF126" s="6880"/>
      <c r="BG126" s="6880"/>
      <c r="BH126" s="6880"/>
      <c r="BI126" s="6880"/>
      <c r="BJ126" s="6880"/>
      <c r="BK126" s="6880"/>
      <c r="BL126" s="6880"/>
      <c r="BM126" s="6880"/>
      <c r="BN126" s="6880"/>
      <c r="BO126" s="6880"/>
      <c r="BP126" s="6880"/>
      <c r="BQ126" s="6880"/>
      <c r="BR126" s="6880"/>
      <c r="BS126" s="6880"/>
      <c r="BT126" s="6880"/>
      <c r="BU126" s="6880"/>
      <c r="BV126" s="6880"/>
      <c r="BW126" s="6880"/>
      <c r="BX126" s="6880"/>
      <c r="BY126" s="6880"/>
      <c r="BZ126" s="6880"/>
      <c r="CA126" s="6880"/>
      <c r="CB126" s="6880"/>
      <c r="CC126" s="6880"/>
      <c r="CD126" s="6880"/>
      <c r="CE126" s="6880"/>
      <c r="CF126" s="6880"/>
      <c r="CG126" s="6880"/>
      <c r="CH126" s="6880"/>
      <c r="CI126" s="6880"/>
      <c r="CJ126" s="6880"/>
      <c r="CK126" s="6880"/>
      <c r="CL126" s="6880"/>
      <c r="CM126" s="6880"/>
      <c r="CN126" s="6880"/>
      <c r="CO126" s="6880"/>
      <c r="CP126" s="6880"/>
      <c r="CQ126" s="6880"/>
      <c r="CR126" s="6880"/>
      <c r="CS126" s="6880"/>
      <c r="CT126" s="6880"/>
      <c r="CU126" s="6880"/>
      <c r="CV126" s="6880"/>
      <c r="CW126" s="6880"/>
      <c r="CX126" s="6880"/>
      <c r="CY126" s="6880"/>
      <c r="CZ126" s="6880"/>
      <c r="DA126" s="6880"/>
      <c r="DB126" s="6880"/>
      <c r="DC126" s="6880"/>
      <c r="DD126" s="6880"/>
      <c r="DE126" s="6880"/>
      <c r="DF126" s="6880"/>
      <c r="DG126" s="6880"/>
      <c r="DH126" s="6880"/>
      <c r="DI126" s="6880"/>
      <c r="DJ126" s="6880"/>
      <c r="DK126" s="6880"/>
      <c r="DL126" s="6880"/>
      <c r="DM126" s="6880"/>
      <c r="DN126" s="6880"/>
      <c r="DO126" s="6880"/>
      <c r="DP126" s="6880"/>
      <c r="DQ126" s="6880"/>
      <c r="DR126" s="6880"/>
      <c r="DS126" s="6880"/>
      <c r="DT126" s="6880"/>
      <c r="DU126" s="6880"/>
      <c r="DV126" s="6880"/>
      <c r="DW126" s="6880"/>
      <c r="DX126" s="6880"/>
      <c r="DY126" s="6880"/>
      <c r="DZ126" s="6880"/>
      <c r="EA126" s="6880"/>
      <c r="EB126" s="19228"/>
      <c r="EC126" s="19228"/>
      <c r="ED126" s="19228"/>
      <c r="EE126" s="19228"/>
      <c r="EF126" s="19228"/>
      <c r="EG126" s="19228"/>
      <c r="EH126" s="19228"/>
      <c r="EI126" s="19228"/>
      <c r="EJ126" s="19228"/>
      <c r="EK126" s="19228"/>
      <c r="EL126" s="19228"/>
      <c r="EM126" s="19228"/>
      <c r="EN126" s="19228"/>
      <c r="EO126" s="19228"/>
      <c r="EP126" s="19228"/>
      <c r="EQ126" s="19228"/>
      <c r="ER126" s="19228"/>
      <c r="ES126" s="19228"/>
      <c r="ET126" s="19228"/>
      <c r="EU126" s="19228"/>
      <c r="EV126" s="19228"/>
      <c r="EW126" s="19228"/>
      <c r="EX126" s="6880"/>
      <c r="EY126" s="6880"/>
      <c r="EZ126" s="6889"/>
      <c r="FA126" s="7194"/>
      <c r="FB126" s="7194" t="str">
        <f>IF(T126="","",T126)</f>
        <v>Добавить централизованную систему для дифференциации</v>
      </c>
      <c r="FC126" s="7194"/>
      <c r="FD126" s="7194"/>
    </row>
    <row s="36321" customFormat="1" customHeight="1" ht="23.25">
      <c r="A127" s="7182"/>
      <c r="B127" s="7182" t="s">
        <v>291</v>
      </c>
      <c r="C127" s="7182"/>
      <c r="D127" s="7182"/>
      <c r="E127" s="7183"/>
      <c r="F127" s="7184" t="s">
        <v>89</v>
      </c>
      <c r="G127" s="7182"/>
      <c r="H127" s="7182"/>
      <c r="I127" s="7182"/>
      <c r="J127" s="7182"/>
      <c r="K127" s="7182"/>
      <c r="L127" s="7185"/>
      <c r="M127" s="7186"/>
      <c r="N127" s="7186"/>
      <c r="O127" s="7186"/>
      <c r="P127" s="7187"/>
      <c r="Q127" s="7188"/>
      <c r="R127" s="7189"/>
      <c r="S127" s="7190" t="str">
        <f>INDEX(PT_DIFFERENTIATION_NUM_TER,MATCH(B127,PT_DIFFERENTIATION_TER_ID,0))</f>
        <v>3.3</v>
      </c>
      <c r="T127" s="7191" t="s">
        <v>438</v>
      </c>
      <c r="U127" s="7192"/>
      <c r="V127" s="6602"/>
      <c r="W127" s="6603"/>
      <c r="X127" s="6603"/>
      <c r="Y127" s="6603"/>
      <c r="Z127" s="6603"/>
      <c r="AA127" s="6603"/>
      <c r="AB127" s="6603"/>
      <c r="AC127" s="6603"/>
      <c r="AD127" s="6603"/>
      <c r="AE127" s="6603"/>
      <c r="AF127" s="6604"/>
      <c r="AG127" s="6602" t="str">
        <f>INDEX(PT_DIFFERENTIATION_TER,MATCH(B127,PT_DIFFERENTIATION_TER_ID,0))</f>
        <v>Территория 3</v>
      </c>
      <c r="AH127" s="6603"/>
      <c r="AI127" s="6603"/>
      <c r="AJ127" s="6603"/>
      <c r="AK127" s="6603"/>
      <c r="AL127" s="6603"/>
      <c r="AM127" s="6603"/>
      <c r="AN127" s="6603"/>
      <c r="AO127" s="6603"/>
      <c r="AP127" s="6603"/>
      <c r="AQ127" s="6603"/>
      <c r="AR127" s="6602"/>
      <c r="AS127" s="6603"/>
      <c r="AT127" s="6603"/>
      <c r="AU127" s="6603"/>
      <c r="AV127" s="6603"/>
      <c r="AW127" s="6603"/>
      <c r="AX127" s="6603"/>
      <c r="AY127" s="6603"/>
      <c r="AZ127" s="6603"/>
      <c r="BA127" s="6603"/>
      <c r="BB127" s="6604"/>
      <c r="BC127" s="6602"/>
      <c r="BD127" s="6603"/>
      <c r="BE127" s="6603"/>
      <c r="BF127" s="6603"/>
      <c r="BG127" s="6603"/>
      <c r="BH127" s="6603"/>
      <c r="BI127" s="6603"/>
      <c r="BJ127" s="6603"/>
      <c r="BK127" s="6603"/>
      <c r="BL127" s="6603"/>
      <c r="BM127" s="6604"/>
      <c r="BN127" s="6602"/>
      <c r="BO127" s="6603"/>
      <c r="BP127" s="6603"/>
      <c r="BQ127" s="6603"/>
      <c r="BR127" s="6603"/>
      <c r="BS127" s="6603"/>
      <c r="BT127" s="6603"/>
      <c r="BU127" s="6603"/>
      <c r="BV127" s="6603"/>
      <c r="BW127" s="6603"/>
      <c r="BX127" s="6604"/>
      <c r="BY127" s="6602"/>
      <c r="BZ127" s="6603"/>
      <c r="CA127" s="6603"/>
      <c r="CB127" s="6603"/>
      <c r="CC127" s="6603"/>
      <c r="CD127" s="6603"/>
      <c r="CE127" s="6603"/>
      <c r="CF127" s="6603"/>
      <c r="CG127" s="6603"/>
      <c r="CH127" s="6603"/>
      <c r="CI127" s="6604"/>
      <c r="CJ127" s="6602"/>
      <c r="CK127" s="6603"/>
      <c r="CL127" s="6603"/>
      <c r="CM127" s="6603"/>
      <c r="CN127" s="6603"/>
      <c r="CO127" s="6603"/>
      <c r="CP127" s="6603"/>
      <c r="CQ127" s="6603"/>
      <c r="CR127" s="6603"/>
      <c r="CS127" s="6603"/>
      <c r="CT127" s="6604"/>
      <c r="CU127" s="6602"/>
      <c r="CV127" s="6603"/>
      <c r="CW127" s="6603"/>
      <c r="CX127" s="6603"/>
      <c r="CY127" s="6603"/>
      <c r="CZ127" s="6603"/>
      <c r="DA127" s="6603"/>
      <c r="DB127" s="6603"/>
      <c r="DC127" s="6603"/>
      <c r="DD127" s="6603"/>
      <c r="DE127" s="6604"/>
      <c r="DF127" s="6602"/>
      <c r="DG127" s="6603"/>
      <c r="DH127" s="6603"/>
      <c r="DI127" s="6603"/>
      <c r="DJ127" s="6603"/>
      <c r="DK127" s="6603"/>
      <c r="DL127" s="6603"/>
      <c r="DM127" s="6603"/>
      <c r="DN127" s="6603"/>
      <c r="DO127" s="6603"/>
      <c r="DP127" s="6604"/>
      <c r="DQ127" s="6602"/>
      <c r="DR127" s="6603"/>
      <c r="DS127" s="6603"/>
      <c r="DT127" s="6603"/>
      <c r="DU127" s="6603"/>
      <c r="DV127" s="6603"/>
      <c r="DW127" s="6603"/>
      <c r="DX127" s="6603"/>
      <c r="DY127" s="6603"/>
      <c r="DZ127" s="6603"/>
      <c r="EA127" s="6604"/>
      <c r="EB127" s="18872"/>
      <c r="EC127" s="18873"/>
      <c r="ED127" s="18873"/>
      <c r="EE127" s="18873"/>
      <c r="EF127" s="18873"/>
      <c r="EG127" s="18873"/>
      <c r="EH127" s="18873"/>
      <c r="EI127" s="18873"/>
      <c r="EJ127" s="18873"/>
      <c r="EK127" s="18873"/>
      <c r="EL127" s="18874"/>
      <c r="EM127" s="18872"/>
      <c r="EN127" s="18873"/>
      <c r="EO127" s="18873"/>
      <c r="EP127" s="18873"/>
      <c r="EQ127" s="18873"/>
      <c r="ER127" s="18873"/>
      <c r="ES127" s="18873"/>
      <c r="ET127" s="18873"/>
      <c r="EU127" s="18873"/>
      <c r="EV127" s="18873"/>
      <c r="EW127" s="18874"/>
      <c r="EX127" s="6604"/>
      <c r="EY127" s="7193" t="s">
        <v>439</v>
      </c>
      <c r="EZ127" s="6889"/>
      <c r="FA127" s="7194"/>
      <c r="FB127" s="7194" t="str">
        <f>IF(T127="","",T127)</f>
        <v>Территория действия тарифа</v>
      </c>
      <c r="FC127" s="7194"/>
      <c r="FD127" s="7194"/>
    </row>
    <row s="36322" customFormat="1" customHeight="1" ht="23.25">
      <c r="A128" s="7182"/>
      <c r="B128" s="7182"/>
      <c r="C128" s="7182" t="s">
        <v>292</v>
      </c>
      <c r="D128" s="7182"/>
      <c r="E128" s="7183"/>
      <c r="F128" s="7183" t="s">
        <v>102</v>
      </c>
      <c r="G128" s="7184">
        <v>1</v>
      </c>
      <c r="H128" s="7182"/>
      <c r="I128" s="7182"/>
      <c r="J128" s="7182"/>
      <c r="K128" s="7182"/>
      <c r="L128" s="7185"/>
      <c r="M128" s="7186"/>
      <c r="N128" s="7186"/>
      <c r="O128" s="7186"/>
      <c r="P128" s="7196"/>
      <c r="Q128" s="7188"/>
      <c r="R128" s="7189"/>
      <c r="S128" s="7190" t="str">
        <f>INDEX(PT_DIFFERENTIATION_NUM_CS,MATCH(C128,PT_DIFFERENTIATION_CS_ID,0))</f>
        <v>3.3.1</v>
      </c>
      <c r="T128" s="7197" t="s">
        <v>569</v>
      </c>
      <c r="U128" s="7192"/>
      <c r="V128" s="6602"/>
      <c r="W128" s="6603"/>
      <c r="X128" s="6603"/>
      <c r="Y128" s="6603"/>
      <c r="Z128" s="6603"/>
      <c r="AA128" s="6603"/>
      <c r="AB128" s="6603"/>
      <c r="AC128" s="6603"/>
      <c r="AD128" s="6603"/>
      <c r="AE128" s="6603"/>
      <c r="AF128" s="6604"/>
      <c r="AG128" s="6602" t="str">
        <f>INDEX(PT_DIFFERENTIATION_CS,MATCH(C128,PT_DIFFERENTIATION_CS_ID,0))</f>
        <v>н.п. Белое море</v>
      </c>
      <c r="AH128" s="6603"/>
      <c r="AI128" s="6603"/>
      <c r="AJ128" s="6603"/>
      <c r="AK128" s="6603"/>
      <c r="AL128" s="6603"/>
      <c r="AM128" s="6603"/>
      <c r="AN128" s="6603"/>
      <c r="AO128" s="6603"/>
      <c r="AP128" s="6603"/>
      <c r="AQ128" s="6603"/>
      <c r="AR128" s="6602"/>
      <c r="AS128" s="6603"/>
      <c r="AT128" s="6603"/>
      <c r="AU128" s="6603"/>
      <c r="AV128" s="6603"/>
      <c r="AW128" s="6603"/>
      <c r="AX128" s="6603"/>
      <c r="AY128" s="6603"/>
      <c r="AZ128" s="6603"/>
      <c r="BA128" s="6603"/>
      <c r="BB128" s="6604"/>
      <c r="BC128" s="6602"/>
      <c r="BD128" s="6603"/>
      <c r="BE128" s="6603"/>
      <c r="BF128" s="6603"/>
      <c r="BG128" s="6603"/>
      <c r="BH128" s="6603"/>
      <c r="BI128" s="6603"/>
      <c r="BJ128" s="6603"/>
      <c r="BK128" s="6603"/>
      <c r="BL128" s="6603"/>
      <c r="BM128" s="6604"/>
      <c r="BN128" s="6602"/>
      <c r="BO128" s="6603"/>
      <c r="BP128" s="6603"/>
      <c r="BQ128" s="6603"/>
      <c r="BR128" s="6603"/>
      <c r="BS128" s="6603"/>
      <c r="BT128" s="6603"/>
      <c r="BU128" s="6603"/>
      <c r="BV128" s="6603"/>
      <c r="BW128" s="6603"/>
      <c r="BX128" s="6604"/>
      <c r="BY128" s="6602"/>
      <c r="BZ128" s="6603"/>
      <c r="CA128" s="6603"/>
      <c r="CB128" s="6603"/>
      <c r="CC128" s="6603"/>
      <c r="CD128" s="6603"/>
      <c r="CE128" s="6603"/>
      <c r="CF128" s="6603"/>
      <c r="CG128" s="6603"/>
      <c r="CH128" s="6603"/>
      <c r="CI128" s="6604"/>
      <c r="CJ128" s="6602"/>
      <c r="CK128" s="6603"/>
      <c r="CL128" s="6603"/>
      <c r="CM128" s="6603"/>
      <c r="CN128" s="6603"/>
      <c r="CO128" s="6603"/>
      <c r="CP128" s="6603"/>
      <c r="CQ128" s="6603"/>
      <c r="CR128" s="6603"/>
      <c r="CS128" s="6603"/>
      <c r="CT128" s="6604"/>
      <c r="CU128" s="6602"/>
      <c r="CV128" s="6603"/>
      <c r="CW128" s="6603"/>
      <c r="CX128" s="6603"/>
      <c r="CY128" s="6603"/>
      <c r="CZ128" s="6603"/>
      <c r="DA128" s="6603"/>
      <c r="DB128" s="6603"/>
      <c r="DC128" s="6603"/>
      <c r="DD128" s="6603"/>
      <c r="DE128" s="6604"/>
      <c r="DF128" s="6602"/>
      <c r="DG128" s="6603"/>
      <c r="DH128" s="6603"/>
      <c r="DI128" s="6603"/>
      <c r="DJ128" s="6603"/>
      <c r="DK128" s="6603"/>
      <c r="DL128" s="6603"/>
      <c r="DM128" s="6603"/>
      <c r="DN128" s="6603"/>
      <c r="DO128" s="6603"/>
      <c r="DP128" s="6604"/>
      <c r="DQ128" s="6602"/>
      <c r="DR128" s="6603"/>
      <c r="DS128" s="6603"/>
      <c r="DT128" s="6603"/>
      <c r="DU128" s="6603"/>
      <c r="DV128" s="6603"/>
      <c r="DW128" s="6603"/>
      <c r="DX128" s="6603"/>
      <c r="DY128" s="6603"/>
      <c r="DZ128" s="6603"/>
      <c r="EA128" s="6604"/>
      <c r="EB128" s="18872"/>
      <c r="EC128" s="18873"/>
      <c r="ED128" s="18873"/>
      <c r="EE128" s="18873"/>
      <c r="EF128" s="18873"/>
      <c r="EG128" s="18873"/>
      <c r="EH128" s="18873"/>
      <c r="EI128" s="18873"/>
      <c r="EJ128" s="18873"/>
      <c r="EK128" s="18873"/>
      <c r="EL128" s="18874"/>
      <c r="EM128" s="18872"/>
      <c r="EN128" s="18873"/>
      <c r="EO128" s="18873"/>
      <c r="EP128" s="18873"/>
      <c r="EQ128" s="18873"/>
      <c r="ER128" s="18873"/>
      <c r="ES128" s="18873"/>
      <c r="ET128" s="18873"/>
      <c r="EU128" s="18873"/>
      <c r="EV128" s="18873"/>
      <c r="EW128" s="18874"/>
      <c r="EX128" s="6604"/>
      <c r="EY128" s="7193" t="s">
        <v>570</v>
      </c>
      <c r="EZ128" s="6889"/>
      <c r="FA128" s="7194"/>
      <c r="FB128" s="7194" t="str">
        <f>IF(T128="","",T128)</f>
        <v>Наименование централизованной системы горячего водоснабжения</v>
      </c>
      <c r="FC128" s="7194"/>
      <c r="FD128" s="7194"/>
    </row>
    <row s="36323" customFormat="1" customHeight="1" ht="23.25">
      <c r="A129" s="7182"/>
      <c r="B129" s="7182"/>
      <c r="C129" s="7182"/>
      <c r="D129" s="7182"/>
      <c r="E129" s="7183"/>
      <c r="F129" s="7183" t="s">
        <v>102</v>
      </c>
      <c r="G129" s="7183"/>
      <c r="H129" s="7183"/>
      <c r="I129" s="7199" t="str">
        <f>S128&amp;".1"</f>
        <v>3.3.1.1</v>
      </c>
      <c r="J129" s="7182"/>
      <c r="K129" s="7182"/>
      <c r="L129" s="7185"/>
      <c r="M129" s="7200"/>
      <c r="N129" s="7200"/>
      <c r="O129" s="7200"/>
      <c r="P129" s="7201">
        <v>1</v>
      </c>
      <c r="Q129" s="7201"/>
      <c r="R129" s="7202"/>
      <c r="S129" s="7190" t="str">
        <f>$I129</f>
        <v>3.3.1.1</v>
      </c>
      <c r="T129" s="7203" t="s">
        <v>522</v>
      </c>
      <c r="U129" s="7192"/>
      <c r="V129" s="6605"/>
      <c r="W129" s="6606"/>
      <c r="X129" s="6606"/>
      <c r="Y129" s="6606"/>
      <c r="Z129" s="6606"/>
      <c r="AA129" s="6606"/>
      <c r="AB129" s="6606"/>
      <c r="AC129" s="6606"/>
      <c r="AD129" s="6606"/>
      <c r="AE129" s="6606"/>
      <c r="AF129" s="6607"/>
      <c r="AG129" s="7204"/>
      <c r="AH129" s="7205"/>
      <c r="AI129" s="7205"/>
      <c r="AJ129" s="7205"/>
      <c r="AK129" s="7205"/>
      <c r="AL129" s="7205"/>
      <c r="AM129" s="7205"/>
      <c r="AN129" s="7205"/>
      <c r="AO129" s="7205"/>
      <c r="AP129" s="7205"/>
      <c r="AQ129" s="7205"/>
      <c r="AR129" s="6605"/>
      <c r="AS129" s="6606"/>
      <c r="AT129" s="6606"/>
      <c r="AU129" s="6606"/>
      <c r="AV129" s="6606"/>
      <c r="AW129" s="6606"/>
      <c r="AX129" s="6606"/>
      <c r="AY129" s="6606"/>
      <c r="AZ129" s="6606"/>
      <c r="BA129" s="6606"/>
      <c r="BB129" s="6607"/>
      <c r="BC129" s="6605"/>
      <c r="BD129" s="6606"/>
      <c r="BE129" s="6606"/>
      <c r="BF129" s="6606"/>
      <c r="BG129" s="6606"/>
      <c r="BH129" s="6606"/>
      <c r="BI129" s="6606"/>
      <c r="BJ129" s="6606"/>
      <c r="BK129" s="6606"/>
      <c r="BL129" s="6606"/>
      <c r="BM129" s="6607"/>
      <c r="BN129" s="6605"/>
      <c r="BO129" s="6606"/>
      <c r="BP129" s="6606"/>
      <c r="BQ129" s="6606"/>
      <c r="BR129" s="6606"/>
      <c r="BS129" s="6606"/>
      <c r="BT129" s="6606"/>
      <c r="BU129" s="6606"/>
      <c r="BV129" s="6606"/>
      <c r="BW129" s="6606"/>
      <c r="BX129" s="6607"/>
      <c r="BY129" s="6605"/>
      <c r="BZ129" s="6606"/>
      <c r="CA129" s="6606"/>
      <c r="CB129" s="6606"/>
      <c r="CC129" s="6606"/>
      <c r="CD129" s="6606"/>
      <c r="CE129" s="6606"/>
      <c r="CF129" s="6606"/>
      <c r="CG129" s="6606"/>
      <c r="CH129" s="6606"/>
      <c r="CI129" s="6607"/>
      <c r="CJ129" s="6605"/>
      <c r="CK129" s="6606"/>
      <c r="CL129" s="6606"/>
      <c r="CM129" s="6606"/>
      <c r="CN129" s="6606"/>
      <c r="CO129" s="6606"/>
      <c r="CP129" s="6606"/>
      <c r="CQ129" s="6606"/>
      <c r="CR129" s="6606"/>
      <c r="CS129" s="6606"/>
      <c r="CT129" s="6607"/>
      <c r="CU129" s="6605"/>
      <c r="CV129" s="6606"/>
      <c r="CW129" s="6606"/>
      <c r="CX129" s="6606"/>
      <c r="CY129" s="6606"/>
      <c r="CZ129" s="6606"/>
      <c r="DA129" s="6606"/>
      <c r="DB129" s="6606"/>
      <c r="DC129" s="6606"/>
      <c r="DD129" s="6606"/>
      <c r="DE129" s="6607"/>
      <c r="DF129" s="6605"/>
      <c r="DG129" s="6606"/>
      <c r="DH129" s="6606"/>
      <c r="DI129" s="6606"/>
      <c r="DJ129" s="6606"/>
      <c r="DK129" s="6606"/>
      <c r="DL129" s="6606"/>
      <c r="DM129" s="6606"/>
      <c r="DN129" s="6606"/>
      <c r="DO129" s="6606"/>
      <c r="DP129" s="6607"/>
      <c r="DQ129" s="6605"/>
      <c r="DR129" s="6606"/>
      <c r="DS129" s="6606"/>
      <c r="DT129" s="6606"/>
      <c r="DU129" s="6606"/>
      <c r="DV129" s="6606"/>
      <c r="DW129" s="6606"/>
      <c r="DX129" s="6606"/>
      <c r="DY129" s="6606"/>
      <c r="DZ129" s="6606"/>
      <c r="EA129" s="6607"/>
      <c r="EB129" s="18878"/>
      <c r="EC129" s="18879"/>
      <c r="ED129" s="18879"/>
      <c r="EE129" s="18879"/>
      <c r="EF129" s="18879"/>
      <c r="EG129" s="18879"/>
      <c r="EH129" s="18879"/>
      <c r="EI129" s="18879"/>
      <c r="EJ129" s="18879"/>
      <c r="EK129" s="18879"/>
      <c r="EL129" s="18880"/>
      <c r="EM129" s="18878"/>
      <c r="EN129" s="18879"/>
      <c r="EO129" s="18879"/>
      <c r="EP129" s="18879"/>
      <c r="EQ129" s="18879"/>
      <c r="ER129" s="18879"/>
      <c r="ES129" s="18879"/>
      <c r="ET129" s="18879"/>
      <c r="EU129" s="18879"/>
      <c r="EV129" s="18879"/>
      <c r="EW129" s="18880"/>
      <c r="EX129" s="7206"/>
      <c r="EY129" s="7193" t="s">
        <v>523</v>
      </c>
      <c r="EZ129" s="6889"/>
      <c r="FA129" s="7194"/>
      <c r="FB129" s="7194" t="str">
        <f>IF(T129="","",T129)</f>
        <v>Наименование признака дифференциации</v>
      </c>
      <c r="FC129" s="7194"/>
      <c r="FD129" s="7194"/>
    </row>
    <row s="36324" customFormat="1" customHeight="1" ht="23.25">
      <c r="A130" s="7182"/>
      <c r="B130" s="7182"/>
      <c r="C130" s="7182"/>
      <c r="D130" s="7182"/>
      <c r="E130" s="7183"/>
      <c r="F130" s="7183" t="s">
        <v>102</v>
      </c>
      <c r="G130" s="7183"/>
      <c r="H130" s="7183"/>
      <c r="I130" s="7208"/>
      <c r="J130" s="7199" t="str">
        <f>I129&amp;".1"</f>
        <v>3.3.1.1.1</v>
      </c>
      <c r="K130" s="7182"/>
      <c r="L130" s="7185" t="s">
        <v>447</v>
      </c>
      <c r="M130" s="7200"/>
      <c r="N130" s="7200"/>
      <c r="O130" s="7200"/>
      <c r="P130" s="7201"/>
      <c r="Q130" s="7201">
        <v>1</v>
      </c>
      <c r="R130" s="7209"/>
      <c r="S130" s="7190" t="str">
        <f>$J130</f>
        <v>3.3.1.1.1</v>
      </c>
      <c r="T130" s="7210" t="s">
        <v>448</v>
      </c>
      <c r="U130" s="7192"/>
      <c r="V130" s="6608"/>
      <c r="W130" s="6609"/>
      <c r="X130" s="6609"/>
      <c r="Y130" s="6609"/>
      <c r="Z130" s="6609"/>
      <c r="AA130" s="6609"/>
      <c r="AB130" s="6609"/>
      <c r="AC130" s="6609"/>
      <c r="AD130" s="6609"/>
      <c r="AE130" s="6609"/>
      <c r="AF130" s="6610"/>
      <c r="AG130" s="6608" t="s">
        <v>582</v>
      </c>
      <c r="AH130" s="6609"/>
      <c r="AI130" s="6609"/>
      <c r="AJ130" s="6609"/>
      <c r="AK130" s="6609"/>
      <c r="AL130" s="6609"/>
      <c r="AM130" s="6609"/>
      <c r="AN130" s="6609"/>
      <c r="AO130" s="6609"/>
      <c r="AP130" s="6609"/>
      <c r="AQ130" s="6609"/>
      <c r="AR130" s="6608"/>
      <c r="AS130" s="6609"/>
      <c r="AT130" s="6609"/>
      <c r="AU130" s="6609"/>
      <c r="AV130" s="6609"/>
      <c r="AW130" s="6609"/>
      <c r="AX130" s="6609"/>
      <c r="AY130" s="6609"/>
      <c r="AZ130" s="6609"/>
      <c r="BA130" s="6609"/>
      <c r="BB130" s="6610"/>
      <c r="BC130" s="6608"/>
      <c r="BD130" s="6609"/>
      <c r="BE130" s="6609"/>
      <c r="BF130" s="6609"/>
      <c r="BG130" s="6609"/>
      <c r="BH130" s="6609"/>
      <c r="BI130" s="6609"/>
      <c r="BJ130" s="6609"/>
      <c r="BK130" s="6609"/>
      <c r="BL130" s="6609"/>
      <c r="BM130" s="6610"/>
      <c r="BN130" s="6608"/>
      <c r="BO130" s="6609"/>
      <c r="BP130" s="6609"/>
      <c r="BQ130" s="6609"/>
      <c r="BR130" s="6609"/>
      <c r="BS130" s="6609"/>
      <c r="BT130" s="6609"/>
      <c r="BU130" s="6609"/>
      <c r="BV130" s="6609"/>
      <c r="BW130" s="6609"/>
      <c r="BX130" s="6610"/>
      <c r="BY130" s="6608"/>
      <c r="BZ130" s="6609"/>
      <c r="CA130" s="6609"/>
      <c r="CB130" s="6609"/>
      <c r="CC130" s="6609"/>
      <c r="CD130" s="6609"/>
      <c r="CE130" s="6609"/>
      <c r="CF130" s="6609"/>
      <c r="CG130" s="6609"/>
      <c r="CH130" s="6609"/>
      <c r="CI130" s="6610"/>
      <c r="CJ130" s="6608"/>
      <c r="CK130" s="6609"/>
      <c r="CL130" s="6609"/>
      <c r="CM130" s="6609"/>
      <c r="CN130" s="6609"/>
      <c r="CO130" s="6609"/>
      <c r="CP130" s="6609"/>
      <c r="CQ130" s="6609"/>
      <c r="CR130" s="6609"/>
      <c r="CS130" s="6609"/>
      <c r="CT130" s="6610"/>
      <c r="CU130" s="6608"/>
      <c r="CV130" s="6609"/>
      <c r="CW130" s="6609"/>
      <c r="CX130" s="6609"/>
      <c r="CY130" s="6609"/>
      <c r="CZ130" s="6609"/>
      <c r="DA130" s="6609"/>
      <c r="DB130" s="6609"/>
      <c r="DC130" s="6609"/>
      <c r="DD130" s="6609"/>
      <c r="DE130" s="6610"/>
      <c r="DF130" s="6608"/>
      <c r="DG130" s="6609"/>
      <c r="DH130" s="6609"/>
      <c r="DI130" s="6609"/>
      <c r="DJ130" s="6609"/>
      <c r="DK130" s="6609"/>
      <c r="DL130" s="6609"/>
      <c r="DM130" s="6609"/>
      <c r="DN130" s="6609"/>
      <c r="DO130" s="6609"/>
      <c r="DP130" s="6610"/>
      <c r="DQ130" s="6608"/>
      <c r="DR130" s="6609"/>
      <c r="DS130" s="6609"/>
      <c r="DT130" s="6609"/>
      <c r="DU130" s="6609"/>
      <c r="DV130" s="6609"/>
      <c r="DW130" s="6609"/>
      <c r="DX130" s="6609"/>
      <c r="DY130" s="6609"/>
      <c r="DZ130" s="6609"/>
      <c r="EA130" s="6610"/>
      <c r="EB130" s="18884"/>
      <c r="EC130" s="18885"/>
      <c r="ED130" s="18885"/>
      <c r="EE130" s="18885"/>
      <c r="EF130" s="18885"/>
      <c r="EG130" s="18885"/>
      <c r="EH130" s="18885"/>
      <c r="EI130" s="18885"/>
      <c r="EJ130" s="18885"/>
      <c r="EK130" s="18885"/>
      <c r="EL130" s="18886"/>
      <c r="EM130" s="18884"/>
      <c r="EN130" s="18885"/>
      <c r="EO130" s="18885"/>
      <c r="EP130" s="18885"/>
      <c r="EQ130" s="18885"/>
      <c r="ER130" s="18885"/>
      <c r="ES130" s="18885"/>
      <c r="ET130" s="18885"/>
      <c r="EU130" s="18885"/>
      <c r="EV130" s="18885"/>
      <c r="EW130" s="18886"/>
      <c r="EX130" s="6610"/>
      <c r="EY130" s="7211" t="s">
        <v>524</v>
      </c>
      <c r="EZ130" s="6889"/>
      <c r="FA130" s="7194"/>
      <c r="FB130" s="7194" t="str">
        <f>IF(T130="","",T130)</f>
        <v>Группа потребителей</v>
      </c>
      <c r="FC130" s="7194"/>
      <c r="FD130" s="7194"/>
    </row>
    <row s="36325" customFormat="1" customHeight="1" ht="23.25">
      <c r="A131" s="7182"/>
      <c r="B131" s="7182"/>
      <c r="C131" s="7182"/>
      <c r="D131" s="7182"/>
      <c r="E131" s="7183"/>
      <c r="F131" s="7183" t="s">
        <v>102</v>
      </c>
      <c r="G131" s="7183"/>
      <c r="H131" s="7183"/>
      <c r="I131" s="7208"/>
      <c r="J131" s="7208"/>
      <c r="K131" s="7199" t="str">
        <f>J130&amp;".1"</f>
        <v>3.3.1.1.1.1</v>
      </c>
      <c r="L131" s="7185"/>
      <c r="M131" s="7200"/>
      <c r="N131" s="7200"/>
      <c r="O131" s="7200"/>
      <c r="P131" s="7201"/>
      <c r="Q131" s="7201"/>
      <c r="R131" s="7209">
        <v>1</v>
      </c>
      <c r="S131" s="7190" t="str">
        <f>$K131</f>
        <v>3.3.1.1.1.1</v>
      </c>
      <c r="T131" s="7213"/>
      <c r="U131" s="7192"/>
      <c r="V131" s="6611"/>
      <c r="W131" s="6611"/>
      <c r="X131" s="6611"/>
      <c r="Y131" s="6611"/>
      <c r="Z131" s="6611"/>
      <c r="AA131" s="6611"/>
      <c r="AB131" s="6611"/>
      <c r="AC131" s="6612"/>
      <c r="AD131" s="6613" t="s">
        <v>66</v>
      </c>
      <c r="AE131" s="6612"/>
      <c r="AF131" s="6613" t="s">
        <v>66</v>
      </c>
      <c r="AG131" s="6611">
        <v>127.96</v>
      </c>
      <c r="AH131" s="6611"/>
      <c r="AI131" s="6611"/>
      <c r="AJ131" s="6611"/>
      <c r="AK131" s="6611">
        <v>3807.45</v>
      </c>
      <c r="AL131" s="6611"/>
      <c r="AM131" s="6611"/>
      <c r="AN131" s="18891">
        <v>44896</v>
      </c>
      <c r="AO131" s="6613" t="s">
        <v>66</v>
      </c>
      <c r="AP131" s="19294">
        <v>45291</v>
      </c>
      <c r="AQ131" s="6613" t="s">
        <v>66</v>
      </c>
      <c r="AR131" s="6611">
        <v>0</v>
      </c>
      <c r="AS131" s="6611"/>
      <c r="AT131" s="6611"/>
      <c r="AU131" s="6611"/>
      <c r="AV131" s="6611">
        <v>3807.45</v>
      </c>
      <c r="AW131" s="6611"/>
      <c r="AX131" s="6611"/>
      <c r="AY131" s="18891">
        <v>45292</v>
      </c>
      <c r="AZ131" s="6613" t="s">
        <v>66</v>
      </c>
      <c r="BA131" s="18891">
        <v>45473</v>
      </c>
      <c r="BB131" s="6613" t="s">
        <v>66</v>
      </c>
      <c r="BC131" s="6611">
        <v>0</v>
      </c>
      <c r="BD131" s="6611"/>
      <c r="BE131" s="6611"/>
      <c r="BF131" s="6611"/>
      <c r="BG131" s="6611">
        <v>4275.77</v>
      </c>
      <c r="BH131" s="6611"/>
      <c r="BI131" s="6611"/>
      <c r="BJ131" s="18891">
        <v>45474</v>
      </c>
      <c r="BK131" s="6613" t="s">
        <v>66</v>
      </c>
      <c r="BL131" s="18891">
        <v>45657</v>
      </c>
      <c r="BM131" s="6613" t="s">
        <v>66</v>
      </c>
      <c r="BN131" s="6611">
        <v>0</v>
      </c>
      <c r="BO131" s="6611"/>
      <c r="BP131" s="6611"/>
      <c r="BQ131" s="6611"/>
      <c r="BR131" s="6611">
        <v>3986.4</v>
      </c>
      <c r="BS131" s="6611"/>
      <c r="BT131" s="6611"/>
      <c r="BU131" s="18891">
        <v>45658</v>
      </c>
      <c r="BV131" s="6613" t="s">
        <v>66</v>
      </c>
      <c r="BW131" s="18891">
        <v>45838</v>
      </c>
      <c r="BX131" s="6613" t="s">
        <v>66</v>
      </c>
      <c r="BY131" s="6611">
        <v>0</v>
      </c>
      <c r="BZ131" s="6611"/>
      <c r="CA131" s="6611"/>
      <c r="CB131" s="6611"/>
      <c r="CC131" s="6611">
        <v>4145.86</v>
      </c>
      <c r="CD131" s="6611"/>
      <c r="CE131" s="6611"/>
      <c r="CF131" s="18891">
        <v>45839</v>
      </c>
      <c r="CG131" s="6613" t="s">
        <v>66</v>
      </c>
      <c r="CH131" s="18891">
        <v>46022</v>
      </c>
      <c r="CI131" s="6613" t="s">
        <v>66</v>
      </c>
      <c r="CJ131" s="6611">
        <v>0</v>
      </c>
      <c r="CK131" s="6611"/>
      <c r="CL131" s="6611"/>
      <c r="CM131" s="6611"/>
      <c r="CN131" s="6611">
        <v>4145.86</v>
      </c>
      <c r="CO131" s="6611"/>
      <c r="CP131" s="6611"/>
      <c r="CQ131" s="18891">
        <v>46023</v>
      </c>
      <c r="CR131" s="6613" t="s">
        <v>66</v>
      </c>
      <c r="CS131" s="18891">
        <v>46203</v>
      </c>
      <c r="CT131" s="6613" t="s">
        <v>66</v>
      </c>
      <c r="CU131" s="6611">
        <v>0</v>
      </c>
      <c r="CV131" s="6611"/>
      <c r="CW131" s="6611"/>
      <c r="CX131" s="6611"/>
      <c r="CY131" s="6611">
        <v>4311.69</v>
      </c>
      <c r="CZ131" s="6611"/>
      <c r="DA131" s="6611"/>
      <c r="DB131" s="18891">
        <v>46204</v>
      </c>
      <c r="DC131" s="6613" t="s">
        <v>66</v>
      </c>
      <c r="DD131" s="18891">
        <v>46387</v>
      </c>
      <c r="DE131" s="6613" t="s">
        <v>66</v>
      </c>
      <c r="DF131" s="6611">
        <v>0</v>
      </c>
      <c r="DG131" s="6611"/>
      <c r="DH131" s="6611"/>
      <c r="DI131" s="6611"/>
      <c r="DJ131" s="6611">
        <v>4311.69</v>
      </c>
      <c r="DK131" s="6611"/>
      <c r="DL131" s="6611"/>
      <c r="DM131" s="18891">
        <v>46388</v>
      </c>
      <c r="DN131" s="6613" t="s">
        <v>66</v>
      </c>
      <c r="DO131" s="18891">
        <v>46568</v>
      </c>
      <c r="DP131" s="6613" t="s">
        <v>66</v>
      </c>
      <c r="DQ131" s="6611">
        <v>0</v>
      </c>
      <c r="DR131" s="6611"/>
      <c r="DS131" s="6611"/>
      <c r="DT131" s="6611"/>
      <c r="DU131" s="6611">
        <v>4484.16</v>
      </c>
      <c r="DV131" s="6611"/>
      <c r="DW131" s="6611"/>
      <c r="DX131" s="18891">
        <v>46569</v>
      </c>
      <c r="DY131" s="6613" t="s">
        <v>66</v>
      </c>
      <c r="DZ131" s="18891">
        <v>46752</v>
      </c>
      <c r="EA131" s="6613" t="s">
        <v>66</v>
      </c>
      <c r="EB131" s="18890">
        <v>0</v>
      </c>
      <c r="EC131" s="18890"/>
      <c r="ED131" s="18890"/>
      <c r="EE131" s="18890"/>
      <c r="EF131" s="18890">
        <v>4484.16</v>
      </c>
      <c r="EG131" s="18890"/>
      <c r="EH131" s="18890"/>
      <c r="EI131" s="18891">
        <v>46753</v>
      </c>
      <c r="EJ131" s="18892" t="s">
        <v>66</v>
      </c>
      <c r="EK131" s="18891">
        <v>46934</v>
      </c>
      <c r="EL131" s="18892" t="s">
        <v>66</v>
      </c>
      <c r="EM131" s="18890">
        <v>0</v>
      </c>
      <c r="EN131" s="18890"/>
      <c r="EO131" s="18890"/>
      <c r="EP131" s="18890"/>
      <c r="EQ131" s="18890">
        <v>4663.53</v>
      </c>
      <c r="ER131" s="18890"/>
      <c r="ES131" s="18890"/>
      <c r="ET131" s="18891">
        <v>46935</v>
      </c>
      <c r="EU131" s="18892" t="s">
        <v>66</v>
      </c>
      <c r="EV131" s="18891">
        <v>47118</v>
      </c>
      <c r="EW131" s="18892" t="s">
        <v>66</v>
      </c>
      <c r="EX131" s="7214"/>
      <c r="EY131" s="72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Z131" s="6889">
        <f>STRCHECKDATE(V132:EX132)</f>
      </c>
      <c r="FA131" s="7194"/>
      <c r="FB131" s="7194" t="str">
        <f>IF(T131="","",T131)</f>
        <v/>
      </c>
      <c r="FC131" s="7194"/>
      <c r="FD131" s="7194"/>
    </row>
    <row s="36326" customFormat="1" customHeight="1" ht="14.25">
      <c r="A132" s="7182"/>
      <c r="B132" s="7182"/>
      <c r="C132" s="7182"/>
      <c r="D132" s="7182"/>
      <c r="E132" s="7183"/>
      <c r="F132" s="7183" t="s">
        <v>102</v>
      </c>
      <c r="G132" s="7183"/>
      <c r="H132" s="7183"/>
      <c r="I132" s="7208"/>
      <c r="J132" s="7208"/>
      <c r="K132" s="7199"/>
      <c r="L132" s="7185"/>
      <c r="M132" s="7200"/>
      <c r="N132" s="7200"/>
      <c r="O132" s="7200"/>
      <c r="P132" s="7201"/>
      <c r="Q132" s="7201"/>
      <c r="R132" s="7209"/>
      <c r="S132" s="7217"/>
      <c r="T132" s="7192"/>
      <c r="U132" s="7192"/>
      <c r="V132" s="6614"/>
      <c r="W132" s="6614"/>
      <c r="X132" s="6614"/>
      <c r="Y132" s="6614"/>
      <c r="Z132" s="6614"/>
      <c r="AA132" s="6614"/>
      <c r="AB132" s="6614"/>
      <c r="AC132" s="6615"/>
      <c r="AD132" s="6613"/>
      <c r="AE132" s="6615"/>
      <c r="AF132" s="6613"/>
      <c r="AG132" s="6614"/>
      <c r="AH132" s="6614"/>
      <c r="AI132" s="6614"/>
      <c r="AJ132" s="6614"/>
      <c r="AK132" s="6614"/>
      <c r="AL132" s="6614"/>
      <c r="AM132" s="6614"/>
      <c r="AN132" s="6615"/>
      <c r="AO132" s="6613"/>
      <c r="AP132" s="6916"/>
      <c r="AQ132" s="6613"/>
      <c r="AR132" s="6614"/>
      <c r="AS132" s="6614"/>
      <c r="AT132" s="6614"/>
      <c r="AU132" s="6614"/>
      <c r="AV132" s="6614"/>
      <c r="AW132" s="6614"/>
      <c r="AX132" s="6614"/>
      <c r="AY132" s="6615"/>
      <c r="AZ132" s="6613"/>
      <c r="BA132" s="6615"/>
      <c r="BB132" s="6613"/>
      <c r="BC132" s="6614"/>
      <c r="BD132" s="6614"/>
      <c r="BE132" s="6614"/>
      <c r="BF132" s="6614"/>
      <c r="BG132" s="6614"/>
      <c r="BH132" s="6614"/>
      <c r="BI132" s="6614"/>
      <c r="BJ132" s="6615"/>
      <c r="BK132" s="6613"/>
      <c r="BL132" s="6615"/>
      <c r="BM132" s="6613"/>
      <c r="BN132" s="6614"/>
      <c r="BO132" s="6614"/>
      <c r="BP132" s="6614"/>
      <c r="BQ132" s="6614"/>
      <c r="BR132" s="6614"/>
      <c r="BS132" s="6614"/>
      <c r="BT132" s="6614"/>
      <c r="BU132" s="6615"/>
      <c r="BV132" s="6613"/>
      <c r="BW132" s="6615"/>
      <c r="BX132" s="6613"/>
      <c r="BY132" s="6614"/>
      <c r="BZ132" s="6614"/>
      <c r="CA132" s="6614"/>
      <c r="CB132" s="6614"/>
      <c r="CC132" s="6614"/>
      <c r="CD132" s="6614"/>
      <c r="CE132" s="6614"/>
      <c r="CF132" s="6615"/>
      <c r="CG132" s="6613"/>
      <c r="CH132" s="6615"/>
      <c r="CI132" s="6613"/>
      <c r="CJ132" s="6614"/>
      <c r="CK132" s="6614"/>
      <c r="CL132" s="6614"/>
      <c r="CM132" s="6614"/>
      <c r="CN132" s="6614"/>
      <c r="CO132" s="6614"/>
      <c r="CP132" s="6614"/>
      <c r="CQ132" s="6615"/>
      <c r="CR132" s="6613"/>
      <c r="CS132" s="6615"/>
      <c r="CT132" s="6613"/>
      <c r="CU132" s="6614"/>
      <c r="CV132" s="6614"/>
      <c r="CW132" s="6614"/>
      <c r="CX132" s="6614"/>
      <c r="CY132" s="6614"/>
      <c r="CZ132" s="6614"/>
      <c r="DA132" s="6614"/>
      <c r="DB132" s="6615"/>
      <c r="DC132" s="6613"/>
      <c r="DD132" s="6615"/>
      <c r="DE132" s="6613"/>
      <c r="DF132" s="6614"/>
      <c r="DG132" s="6614"/>
      <c r="DH132" s="6614"/>
      <c r="DI132" s="6614"/>
      <c r="DJ132" s="6614"/>
      <c r="DK132" s="6614"/>
      <c r="DL132" s="6614"/>
      <c r="DM132" s="6615"/>
      <c r="DN132" s="6613"/>
      <c r="DO132" s="6615"/>
      <c r="DP132" s="6613"/>
      <c r="DQ132" s="6614"/>
      <c r="DR132" s="6614"/>
      <c r="DS132" s="6614"/>
      <c r="DT132" s="6614"/>
      <c r="DU132" s="6614"/>
      <c r="DV132" s="6614"/>
      <c r="DW132" s="6614"/>
      <c r="DX132" s="6615"/>
      <c r="DY132" s="6613"/>
      <c r="DZ132" s="6615"/>
      <c r="EA132" s="6613"/>
      <c r="EB132" s="18895"/>
      <c r="EC132" s="18895"/>
      <c r="ED132" s="18895"/>
      <c r="EE132" s="18895"/>
      <c r="EF132" s="18895"/>
      <c r="EG132" s="18895"/>
      <c r="EH132" s="18895"/>
      <c r="EI132" s="18896"/>
      <c r="EJ132" s="18892"/>
      <c r="EK132" s="18896"/>
      <c r="EL132" s="18892"/>
      <c r="EM132" s="18895"/>
      <c r="EN132" s="18895"/>
      <c r="EO132" s="18895"/>
      <c r="EP132" s="18895"/>
      <c r="EQ132" s="18895"/>
      <c r="ER132" s="18895"/>
      <c r="ES132" s="18895"/>
      <c r="ET132" s="18896"/>
      <c r="EU132" s="18892"/>
      <c r="EV132" s="18896"/>
      <c r="EW132" s="18892"/>
      <c r="EX132" s="7218"/>
      <c r="EY132" s="7215"/>
      <c r="EZ132" s="6889"/>
      <c r="FA132" s="7194"/>
      <c r="FB132" s="7194" t="str">
        <f>IF(T132="","",T132)</f>
        <v/>
      </c>
      <c r="FC132" s="7194"/>
      <c r="FD132" s="7194"/>
    </row>
    <row s="36327" customFormat="1" customHeight="1" ht="21">
      <c r="A133" s="7182"/>
      <c r="B133" s="7182"/>
      <c r="C133" s="7182"/>
      <c r="D133" s="7182"/>
      <c r="E133" s="7183"/>
      <c r="F133" s="7183" t="s">
        <v>102</v>
      </c>
      <c r="G133" s="7183"/>
      <c r="H133" s="7183"/>
      <c r="I133" s="7208"/>
      <c r="J133" s="7199"/>
      <c r="K133" s="7182"/>
      <c r="L133" s="7185"/>
      <c r="M133" s="7200"/>
      <c r="N133" s="7200"/>
      <c r="O133" s="7200"/>
      <c r="P133" s="7201"/>
      <c r="Q133" s="7201"/>
      <c r="R133" s="7202"/>
      <c r="S133" s="9713"/>
      <c r="T133" s="9714" t="s">
        <v>525</v>
      </c>
      <c r="U133" s="9715"/>
      <c r="V133" s="9716"/>
      <c r="W133" s="9717"/>
      <c r="X133" s="9718"/>
      <c r="Y133" s="9719"/>
      <c r="Z133" s="9720"/>
      <c r="AA133" s="9721"/>
      <c r="AB133" s="9722"/>
      <c r="AC133" s="9723"/>
      <c r="AD133" s="9724"/>
      <c r="AE133" s="9725"/>
      <c r="AF133" s="9726"/>
      <c r="AG133" s="9727"/>
      <c r="AH133" s="9728"/>
      <c r="AI133" s="9729"/>
      <c r="AJ133" s="9730"/>
      <c r="AK133" s="9731"/>
      <c r="AL133" s="9732"/>
      <c r="AM133" s="9733"/>
      <c r="AN133" s="9734"/>
      <c r="AO133" s="9735"/>
      <c r="AP133" s="9736"/>
      <c r="AQ133" s="9737"/>
      <c r="AR133" s="9738"/>
      <c r="AS133" s="9739"/>
      <c r="AT133" s="9740"/>
      <c r="AU133" s="9741"/>
      <c r="AV133" s="9742"/>
      <c r="AW133" s="9743"/>
      <c r="AX133" s="9744"/>
      <c r="AY133" s="9745"/>
      <c r="AZ133" s="9746"/>
      <c r="BA133" s="9747"/>
      <c r="BB133" s="9748"/>
      <c r="BC133" s="9749"/>
      <c r="BD133" s="9750"/>
      <c r="BE133" s="9751"/>
      <c r="BF133" s="9752"/>
      <c r="BG133" s="9753"/>
      <c r="BH133" s="9754"/>
      <c r="BI133" s="9755"/>
      <c r="BJ133" s="9756"/>
      <c r="BK133" s="9757"/>
      <c r="BL133" s="9758"/>
      <c r="BM133" s="9759"/>
      <c r="BN133" s="9760"/>
      <c r="BO133" s="9761"/>
      <c r="BP133" s="9762"/>
      <c r="BQ133" s="9763"/>
      <c r="BR133" s="9764"/>
      <c r="BS133" s="9765"/>
      <c r="BT133" s="9766"/>
      <c r="BU133" s="9767"/>
      <c r="BV133" s="9768"/>
      <c r="BW133" s="9769"/>
      <c r="BX133" s="9770"/>
      <c r="BY133" s="9771"/>
      <c r="BZ133" s="9772"/>
      <c r="CA133" s="9773"/>
      <c r="CB133" s="9774"/>
      <c r="CC133" s="9775"/>
      <c r="CD133" s="9776"/>
      <c r="CE133" s="9777"/>
      <c r="CF133" s="9778"/>
      <c r="CG133" s="9779"/>
      <c r="CH133" s="9780"/>
      <c r="CI133" s="9781"/>
      <c r="CJ133" s="9782"/>
      <c r="CK133" s="9783"/>
      <c r="CL133" s="9784"/>
      <c r="CM133" s="9785"/>
      <c r="CN133" s="9786"/>
      <c r="CO133" s="9787"/>
      <c r="CP133" s="9788"/>
      <c r="CQ133" s="9789"/>
      <c r="CR133" s="9790"/>
      <c r="CS133" s="9791"/>
      <c r="CT133" s="9792"/>
      <c r="CU133" s="9793"/>
      <c r="CV133" s="9794"/>
      <c r="CW133" s="9795"/>
      <c r="CX133" s="9796"/>
      <c r="CY133" s="9797"/>
      <c r="CZ133" s="9798"/>
      <c r="DA133" s="9799"/>
      <c r="DB133" s="9800"/>
      <c r="DC133" s="9801"/>
      <c r="DD133" s="9802"/>
      <c r="DE133" s="9803"/>
      <c r="DF133" s="9804"/>
      <c r="DG133" s="9805"/>
      <c r="DH133" s="9806"/>
      <c r="DI133" s="9807"/>
      <c r="DJ133" s="9808"/>
      <c r="DK133" s="9809"/>
      <c r="DL133" s="9810"/>
      <c r="DM133" s="9811"/>
      <c r="DN133" s="9812"/>
      <c r="DO133" s="9813"/>
      <c r="DP133" s="9814"/>
      <c r="DQ133" s="9815"/>
      <c r="DR133" s="9816"/>
      <c r="DS133" s="9817"/>
      <c r="DT133" s="9818"/>
      <c r="DU133" s="9819"/>
      <c r="DV133" s="9820"/>
      <c r="DW133" s="9821"/>
      <c r="DX133" s="9822"/>
      <c r="DY133" s="9823"/>
      <c r="DZ133" s="9824"/>
      <c r="EA133" s="9825"/>
      <c r="EB133" s="22734"/>
      <c r="EC133" s="22735"/>
      <c r="ED133" s="22736"/>
      <c r="EE133" s="22737"/>
      <c r="EF133" s="22738"/>
      <c r="EG133" s="22739"/>
      <c r="EH133" s="22740"/>
      <c r="EI133" s="22741"/>
      <c r="EJ133" s="22742"/>
      <c r="EK133" s="22743"/>
      <c r="EL133" s="22744"/>
      <c r="EM133" s="22745"/>
      <c r="EN133" s="22746"/>
      <c r="EO133" s="22747"/>
      <c r="EP133" s="22748"/>
      <c r="EQ133" s="22749"/>
      <c r="ER133" s="22750"/>
      <c r="ES133" s="22751"/>
      <c r="ET133" s="22752"/>
      <c r="EU133" s="22753"/>
      <c r="EV133" s="22754"/>
      <c r="EW133" s="22755"/>
      <c r="EX133" s="9826"/>
      <c r="EY133" s="7193" t="s">
        <v>526</v>
      </c>
      <c r="EZ133" s="6889"/>
      <c r="FA133" s="7194"/>
      <c r="FB133" s="7194" t="str">
        <f>IF(T133="","",T133)</f>
        <v>Добавить значение признака дифференциации</v>
      </c>
      <c r="FC133" s="7194"/>
      <c r="FD133" s="7194"/>
    </row>
    <row s="36464" customFormat="1" customHeight="1" ht="21">
      <c r="A134" s="7182"/>
      <c r="B134" s="7182"/>
      <c r="C134" s="7182"/>
      <c r="D134" s="7182"/>
      <c r="E134" s="7183"/>
      <c r="F134" s="7183" t="s">
        <v>102</v>
      </c>
      <c r="G134" s="7183"/>
      <c r="H134" s="7183"/>
      <c r="I134" s="7199"/>
      <c r="J134" s="7182"/>
      <c r="K134" s="7182"/>
      <c r="L134" s="7185"/>
      <c r="M134" s="7200"/>
      <c r="N134" s="7200"/>
      <c r="O134" s="7200"/>
      <c r="P134" s="7201"/>
      <c r="Q134" s="7201"/>
      <c r="R134" s="7202"/>
      <c r="S134" s="9828"/>
      <c r="T134" s="9829" t="s">
        <v>453</v>
      </c>
      <c r="U134" s="9830"/>
      <c r="V134" s="9831"/>
      <c r="W134" s="9832"/>
      <c r="X134" s="9833"/>
      <c r="Y134" s="9834"/>
      <c r="Z134" s="9835"/>
      <c r="AA134" s="9836"/>
      <c r="AB134" s="9837"/>
      <c r="AC134" s="9838"/>
      <c r="AD134" s="9839"/>
      <c r="AE134" s="9840"/>
      <c r="AF134" s="9841"/>
      <c r="AG134" s="9842"/>
      <c r="AH134" s="9843"/>
      <c r="AI134" s="9844"/>
      <c r="AJ134" s="9845"/>
      <c r="AK134" s="9846"/>
      <c r="AL134" s="9847"/>
      <c r="AM134" s="9848"/>
      <c r="AN134" s="9849"/>
      <c r="AO134" s="9850"/>
      <c r="AP134" s="9851"/>
      <c r="AQ134" s="9852"/>
      <c r="AR134" s="9853"/>
      <c r="AS134" s="9854"/>
      <c r="AT134" s="9855"/>
      <c r="AU134" s="9856"/>
      <c r="AV134" s="9857"/>
      <c r="AW134" s="9858"/>
      <c r="AX134" s="9859"/>
      <c r="AY134" s="9860"/>
      <c r="AZ134" s="9861"/>
      <c r="BA134" s="9862"/>
      <c r="BB134" s="9863"/>
      <c r="BC134" s="9864"/>
      <c r="BD134" s="9865"/>
      <c r="BE134" s="9866"/>
      <c r="BF134" s="9867"/>
      <c r="BG134" s="9868"/>
      <c r="BH134" s="9869"/>
      <c r="BI134" s="9870"/>
      <c r="BJ134" s="9871"/>
      <c r="BK134" s="9872"/>
      <c r="BL134" s="9873"/>
      <c r="BM134" s="9874"/>
      <c r="BN134" s="9875"/>
      <c r="BO134" s="9876"/>
      <c r="BP134" s="9877"/>
      <c r="BQ134" s="9878"/>
      <c r="BR134" s="9879"/>
      <c r="BS134" s="9880"/>
      <c r="BT134" s="9881"/>
      <c r="BU134" s="9882"/>
      <c r="BV134" s="9883"/>
      <c r="BW134" s="9884"/>
      <c r="BX134" s="9885"/>
      <c r="BY134" s="9886"/>
      <c r="BZ134" s="9887"/>
      <c r="CA134" s="9888"/>
      <c r="CB134" s="9889"/>
      <c r="CC134" s="9890"/>
      <c r="CD134" s="9891"/>
      <c r="CE134" s="9892"/>
      <c r="CF134" s="9893"/>
      <c r="CG134" s="9894"/>
      <c r="CH134" s="9895"/>
      <c r="CI134" s="9896"/>
      <c r="CJ134" s="9897"/>
      <c r="CK134" s="9898"/>
      <c r="CL134" s="9899"/>
      <c r="CM134" s="9900"/>
      <c r="CN134" s="9901"/>
      <c r="CO134" s="9902"/>
      <c r="CP134" s="9903"/>
      <c r="CQ134" s="9904"/>
      <c r="CR134" s="9905"/>
      <c r="CS134" s="9906"/>
      <c r="CT134" s="9907"/>
      <c r="CU134" s="9908"/>
      <c r="CV134" s="9909"/>
      <c r="CW134" s="9910"/>
      <c r="CX134" s="9911"/>
      <c r="CY134" s="9912"/>
      <c r="CZ134" s="9913"/>
      <c r="DA134" s="9914"/>
      <c r="DB134" s="9915"/>
      <c r="DC134" s="9916"/>
      <c r="DD134" s="9917"/>
      <c r="DE134" s="9918"/>
      <c r="DF134" s="9919"/>
      <c r="DG134" s="9920"/>
      <c r="DH134" s="9921"/>
      <c r="DI134" s="9922"/>
      <c r="DJ134" s="9923"/>
      <c r="DK134" s="9924"/>
      <c r="DL134" s="9925"/>
      <c r="DM134" s="9926"/>
      <c r="DN134" s="9927"/>
      <c r="DO134" s="9928"/>
      <c r="DP134" s="9929"/>
      <c r="DQ134" s="9930"/>
      <c r="DR134" s="9931"/>
      <c r="DS134" s="9932"/>
      <c r="DT134" s="9933"/>
      <c r="DU134" s="9934"/>
      <c r="DV134" s="9935"/>
      <c r="DW134" s="9936"/>
      <c r="DX134" s="9937"/>
      <c r="DY134" s="9938"/>
      <c r="DZ134" s="9939"/>
      <c r="EA134" s="9940"/>
      <c r="EB134" s="22871"/>
      <c r="EC134" s="22872"/>
      <c r="ED134" s="22873"/>
      <c r="EE134" s="22874"/>
      <c r="EF134" s="22875"/>
      <c r="EG134" s="22876"/>
      <c r="EH134" s="22877"/>
      <c r="EI134" s="22878"/>
      <c r="EJ134" s="22879"/>
      <c r="EK134" s="22880"/>
      <c r="EL134" s="22881"/>
      <c r="EM134" s="22882"/>
      <c r="EN134" s="22883"/>
      <c r="EO134" s="22884"/>
      <c r="EP134" s="22885"/>
      <c r="EQ134" s="22886"/>
      <c r="ER134" s="22887"/>
      <c r="ES134" s="22888"/>
      <c r="ET134" s="22889"/>
      <c r="EU134" s="22890"/>
      <c r="EV134" s="22891"/>
      <c r="EW134" s="22892"/>
      <c r="EX134" s="9941"/>
      <c r="EY134" s="9942"/>
      <c r="EZ134" s="6889"/>
      <c r="FA134" s="7194"/>
      <c r="FB134" s="7194" t="str">
        <f>IF(T134="","",T134)</f>
        <v>Добавить группу потребителей</v>
      </c>
      <c r="FC134" s="7194"/>
      <c r="FD134" s="7194"/>
    </row>
    <row s="36602" customFormat="1" customHeight="1" ht="21">
      <c r="A135" s="7182"/>
      <c r="B135" s="7182"/>
      <c r="C135" s="7182"/>
      <c r="D135" s="7182"/>
      <c r="E135" s="7183"/>
      <c r="F135" s="7183" t="s">
        <v>102</v>
      </c>
      <c r="G135" s="7183"/>
      <c r="H135" s="7184"/>
      <c r="I135" s="7182"/>
      <c r="J135" s="7182"/>
      <c r="K135" s="7182"/>
      <c r="L135" s="7185"/>
      <c r="M135" s="7186"/>
      <c r="N135" s="7186"/>
      <c r="O135" s="6881"/>
      <c r="P135" s="7451"/>
      <c r="Q135" s="7452"/>
      <c r="R135" s="7453"/>
      <c r="S135" s="9944"/>
      <c r="T135" s="9945" t="s">
        <v>527</v>
      </c>
      <c r="U135" s="9946"/>
      <c r="V135" s="9947"/>
      <c r="W135" s="9948"/>
      <c r="X135" s="9949"/>
      <c r="Y135" s="9950"/>
      <c r="Z135" s="9951"/>
      <c r="AA135" s="9952"/>
      <c r="AB135" s="9953"/>
      <c r="AC135" s="9954"/>
      <c r="AD135" s="9955"/>
      <c r="AE135" s="9956"/>
      <c r="AF135" s="9957"/>
      <c r="AG135" s="9958"/>
      <c r="AH135" s="9959"/>
      <c r="AI135" s="9960"/>
      <c r="AJ135" s="9961"/>
      <c r="AK135" s="9962"/>
      <c r="AL135" s="9963"/>
      <c r="AM135" s="9964"/>
      <c r="AN135" s="9965"/>
      <c r="AO135" s="9966"/>
      <c r="AP135" s="9967"/>
      <c r="AQ135" s="9968"/>
      <c r="AR135" s="9969"/>
      <c r="AS135" s="9970"/>
      <c r="AT135" s="9971"/>
      <c r="AU135" s="9972"/>
      <c r="AV135" s="9973"/>
      <c r="AW135" s="9974"/>
      <c r="AX135" s="9975"/>
      <c r="AY135" s="9976"/>
      <c r="AZ135" s="9977"/>
      <c r="BA135" s="9978"/>
      <c r="BB135" s="9979"/>
      <c r="BC135" s="9980"/>
      <c r="BD135" s="9981"/>
      <c r="BE135" s="9982"/>
      <c r="BF135" s="9983"/>
      <c r="BG135" s="9984"/>
      <c r="BH135" s="9985"/>
      <c r="BI135" s="9986"/>
      <c r="BJ135" s="9987"/>
      <c r="BK135" s="9988"/>
      <c r="BL135" s="9989"/>
      <c r="BM135" s="9990"/>
      <c r="BN135" s="9991"/>
      <c r="BO135" s="9992"/>
      <c r="BP135" s="9993"/>
      <c r="BQ135" s="9994"/>
      <c r="BR135" s="9995"/>
      <c r="BS135" s="9996"/>
      <c r="BT135" s="9997"/>
      <c r="BU135" s="9998"/>
      <c r="BV135" s="9999"/>
      <c r="BW135" s="10000"/>
      <c r="BX135" s="10001"/>
      <c r="BY135" s="10002"/>
      <c r="BZ135" s="10003"/>
      <c r="CA135" s="10004"/>
      <c r="CB135" s="10005"/>
      <c r="CC135" s="10006"/>
      <c r="CD135" s="10007"/>
      <c r="CE135" s="10008"/>
      <c r="CF135" s="10009"/>
      <c r="CG135" s="10010"/>
      <c r="CH135" s="10011"/>
      <c r="CI135" s="10012"/>
      <c r="CJ135" s="10013"/>
      <c r="CK135" s="10014"/>
      <c r="CL135" s="10015"/>
      <c r="CM135" s="10016"/>
      <c r="CN135" s="10017"/>
      <c r="CO135" s="10018"/>
      <c r="CP135" s="10019"/>
      <c r="CQ135" s="10020"/>
      <c r="CR135" s="10021"/>
      <c r="CS135" s="10022"/>
      <c r="CT135" s="10023"/>
      <c r="CU135" s="10024"/>
      <c r="CV135" s="10025"/>
      <c r="CW135" s="10026"/>
      <c r="CX135" s="10027"/>
      <c r="CY135" s="10028"/>
      <c r="CZ135" s="10029"/>
      <c r="DA135" s="10030"/>
      <c r="DB135" s="10031"/>
      <c r="DC135" s="10032"/>
      <c r="DD135" s="10033"/>
      <c r="DE135" s="10034"/>
      <c r="DF135" s="10035"/>
      <c r="DG135" s="10036"/>
      <c r="DH135" s="10037"/>
      <c r="DI135" s="10038"/>
      <c r="DJ135" s="10039"/>
      <c r="DK135" s="10040"/>
      <c r="DL135" s="10041"/>
      <c r="DM135" s="10042"/>
      <c r="DN135" s="10043"/>
      <c r="DO135" s="10044"/>
      <c r="DP135" s="10045"/>
      <c r="DQ135" s="10046"/>
      <c r="DR135" s="10047"/>
      <c r="DS135" s="10048"/>
      <c r="DT135" s="10049"/>
      <c r="DU135" s="10050"/>
      <c r="DV135" s="10051"/>
      <c r="DW135" s="10052"/>
      <c r="DX135" s="10053"/>
      <c r="DY135" s="10054"/>
      <c r="DZ135" s="10055"/>
      <c r="EA135" s="10056"/>
      <c r="EB135" s="23009"/>
      <c r="EC135" s="23010"/>
      <c r="ED135" s="23011"/>
      <c r="EE135" s="23012"/>
      <c r="EF135" s="23013"/>
      <c r="EG135" s="23014"/>
      <c r="EH135" s="23015"/>
      <c r="EI135" s="23016"/>
      <c r="EJ135" s="23017"/>
      <c r="EK135" s="23018"/>
      <c r="EL135" s="23019"/>
      <c r="EM135" s="23020"/>
      <c r="EN135" s="23021"/>
      <c r="EO135" s="23022"/>
      <c r="EP135" s="23023"/>
      <c r="EQ135" s="23024"/>
      <c r="ER135" s="23025"/>
      <c r="ES135" s="23026"/>
      <c r="ET135" s="23027"/>
      <c r="EU135" s="23028"/>
      <c r="EV135" s="23029"/>
      <c r="EW135" s="23030"/>
      <c r="EX135" s="10057"/>
      <c r="EY135" s="10058"/>
      <c r="EZ135" s="6889"/>
      <c r="FA135" s="7194"/>
      <c r="FB135" s="7194" t="str">
        <f>IF(T135="","",T135)</f>
        <v>Добавить наименование признака дифференциации</v>
      </c>
      <c r="FC135" s="7194"/>
      <c r="FD135" s="7194"/>
    </row>
    <row s="36740" customFormat="1" customHeight="1" ht="14.25">
      <c r="A136" s="7570"/>
      <c r="B136" s="7570"/>
      <c r="C136" s="7570"/>
      <c r="D136" s="7570"/>
      <c r="E136" s="7183"/>
      <c r="F136" s="7184" t="s">
        <v>102</v>
      </c>
      <c r="G136" s="7570"/>
      <c r="H136" s="7570"/>
      <c r="I136" s="7570"/>
      <c r="J136" s="7570"/>
      <c r="K136" s="7570"/>
      <c r="L136" s="7571"/>
      <c r="M136" s="7572"/>
      <c r="N136" s="7572"/>
      <c r="O136" s="6889"/>
      <c r="P136" s="7573"/>
      <c r="Q136" s="7574"/>
      <c r="R136" s="7573"/>
      <c r="S136" s="7575"/>
      <c r="T136" s="7576" t="s">
        <v>262</v>
      </c>
      <c r="U136" s="6880"/>
      <c r="V136" s="6880"/>
      <c r="W136" s="6880"/>
      <c r="X136" s="6880"/>
      <c r="Y136" s="6880"/>
      <c r="Z136" s="6880"/>
      <c r="AA136" s="6880"/>
      <c r="AB136" s="6880"/>
      <c r="AC136" s="6880"/>
      <c r="AD136" s="6880"/>
      <c r="AE136" s="6880"/>
      <c r="AF136" s="6880"/>
      <c r="AG136" s="6880"/>
      <c r="AH136" s="6880"/>
      <c r="AI136" s="6880"/>
      <c r="AJ136" s="6880"/>
      <c r="AK136" s="6880"/>
      <c r="AL136" s="6880"/>
      <c r="AM136" s="6880"/>
      <c r="AN136" s="6880"/>
      <c r="AO136" s="6880"/>
      <c r="AP136" s="6880"/>
      <c r="AQ136" s="6880"/>
      <c r="AR136" s="6880"/>
      <c r="AS136" s="6880"/>
      <c r="AT136" s="6880"/>
      <c r="AU136" s="6880"/>
      <c r="AV136" s="6880"/>
      <c r="AW136" s="6880"/>
      <c r="AX136" s="6880"/>
      <c r="AY136" s="6880"/>
      <c r="AZ136" s="6880"/>
      <c r="BA136" s="6880"/>
      <c r="BB136" s="6880"/>
      <c r="BC136" s="6880"/>
      <c r="BD136" s="6880"/>
      <c r="BE136" s="6880"/>
      <c r="BF136" s="6880"/>
      <c r="BG136" s="6880"/>
      <c r="BH136" s="6880"/>
      <c r="BI136" s="6880"/>
      <c r="BJ136" s="6880"/>
      <c r="BK136" s="6880"/>
      <c r="BL136" s="6880"/>
      <c r="BM136" s="6880"/>
      <c r="BN136" s="6880"/>
      <c r="BO136" s="6880"/>
      <c r="BP136" s="6880"/>
      <c r="BQ136" s="6880"/>
      <c r="BR136" s="6880"/>
      <c r="BS136" s="6880"/>
      <c r="BT136" s="6880"/>
      <c r="BU136" s="6880"/>
      <c r="BV136" s="6880"/>
      <c r="BW136" s="6880"/>
      <c r="BX136" s="6880"/>
      <c r="BY136" s="6880"/>
      <c r="BZ136" s="6880"/>
      <c r="CA136" s="6880"/>
      <c r="CB136" s="6880"/>
      <c r="CC136" s="6880"/>
      <c r="CD136" s="6880"/>
      <c r="CE136" s="6880"/>
      <c r="CF136" s="6880"/>
      <c r="CG136" s="6880"/>
      <c r="CH136" s="6880"/>
      <c r="CI136" s="6880"/>
      <c r="CJ136" s="6880"/>
      <c r="CK136" s="6880"/>
      <c r="CL136" s="6880"/>
      <c r="CM136" s="6880"/>
      <c r="CN136" s="6880"/>
      <c r="CO136" s="6880"/>
      <c r="CP136" s="6880"/>
      <c r="CQ136" s="6880"/>
      <c r="CR136" s="6880"/>
      <c r="CS136" s="6880"/>
      <c r="CT136" s="6880"/>
      <c r="CU136" s="6880"/>
      <c r="CV136" s="6880"/>
      <c r="CW136" s="6880"/>
      <c r="CX136" s="6880"/>
      <c r="CY136" s="6880"/>
      <c r="CZ136" s="6880"/>
      <c r="DA136" s="6880"/>
      <c r="DB136" s="6880"/>
      <c r="DC136" s="6880"/>
      <c r="DD136" s="6880"/>
      <c r="DE136" s="6880"/>
      <c r="DF136" s="6880"/>
      <c r="DG136" s="6880"/>
      <c r="DH136" s="6880"/>
      <c r="DI136" s="6880"/>
      <c r="DJ136" s="6880"/>
      <c r="DK136" s="6880"/>
      <c r="DL136" s="6880"/>
      <c r="DM136" s="6880"/>
      <c r="DN136" s="6880"/>
      <c r="DO136" s="6880"/>
      <c r="DP136" s="6880"/>
      <c r="DQ136" s="6880"/>
      <c r="DR136" s="6880"/>
      <c r="DS136" s="6880"/>
      <c r="DT136" s="6880"/>
      <c r="DU136" s="6880"/>
      <c r="DV136" s="6880"/>
      <c r="DW136" s="6880"/>
      <c r="DX136" s="6880"/>
      <c r="DY136" s="6880"/>
      <c r="DZ136" s="6880"/>
      <c r="EA136" s="6880"/>
      <c r="EB136" s="19228"/>
      <c r="EC136" s="19228"/>
      <c r="ED136" s="19228"/>
      <c r="EE136" s="19228"/>
      <c r="EF136" s="19228"/>
      <c r="EG136" s="19228"/>
      <c r="EH136" s="19228"/>
      <c r="EI136" s="19228"/>
      <c r="EJ136" s="19228"/>
      <c r="EK136" s="19228"/>
      <c r="EL136" s="19228"/>
      <c r="EM136" s="19228"/>
      <c r="EN136" s="19228"/>
      <c r="EO136" s="19228"/>
      <c r="EP136" s="19228"/>
      <c r="EQ136" s="19228"/>
      <c r="ER136" s="19228"/>
      <c r="ES136" s="19228"/>
      <c r="ET136" s="19228"/>
      <c r="EU136" s="19228"/>
      <c r="EV136" s="19228"/>
      <c r="EW136" s="19228"/>
      <c r="EX136" s="6880"/>
      <c r="EY136" s="6880"/>
      <c r="EZ136" s="6889"/>
      <c r="FA136" s="7194"/>
      <c r="FB136" s="7194" t="str">
        <f>IF(T136="","",T136)</f>
        <v>Добавить централизованную систему для дифференциации</v>
      </c>
      <c r="FC136" s="7194"/>
      <c r="FD136" s="7194"/>
    </row>
    <row s="36741" customFormat="1" customHeight="1" ht="14.25">
      <c r="A137" s="7570"/>
      <c r="B137" s="7570"/>
      <c r="C137" s="7570"/>
      <c r="D137" s="7570"/>
      <c r="E137" s="7184" t="s">
        <v>102</v>
      </c>
      <c r="F137" s="7570"/>
      <c r="G137" s="7570"/>
      <c r="H137" s="7570"/>
      <c r="I137" s="7570"/>
      <c r="J137" s="7570"/>
      <c r="K137" s="7570"/>
      <c r="L137" s="7571"/>
      <c r="M137" s="7572"/>
      <c r="N137" s="7572"/>
      <c r="O137" s="6889"/>
      <c r="P137" s="7573"/>
      <c r="Q137" s="7574"/>
      <c r="R137" s="7573"/>
      <c r="S137" s="7575"/>
      <c r="T137" s="7576" t="s">
        <v>270</v>
      </c>
      <c r="U137" s="6880"/>
      <c r="V137" s="6880"/>
      <c r="W137" s="6880"/>
      <c r="X137" s="6880"/>
      <c r="Y137" s="6880"/>
      <c r="Z137" s="6880"/>
      <c r="AA137" s="6880"/>
      <c r="AB137" s="6880"/>
      <c r="AC137" s="6880"/>
      <c r="AD137" s="6880"/>
      <c r="AE137" s="6880"/>
      <c r="AF137" s="6880"/>
      <c r="AG137" s="6880"/>
      <c r="AH137" s="6880"/>
      <c r="AI137" s="6880"/>
      <c r="AJ137" s="6880"/>
      <c r="AK137" s="6880"/>
      <c r="AL137" s="6880"/>
      <c r="AM137" s="6880"/>
      <c r="AN137" s="6880"/>
      <c r="AO137" s="6880"/>
      <c r="AP137" s="6880"/>
      <c r="AQ137" s="6880"/>
      <c r="AR137" s="6880"/>
      <c r="AS137" s="6880"/>
      <c r="AT137" s="6880"/>
      <c r="AU137" s="6880"/>
      <c r="AV137" s="6880"/>
      <c r="AW137" s="6880"/>
      <c r="AX137" s="6880"/>
      <c r="AY137" s="6880"/>
      <c r="AZ137" s="6880"/>
      <c r="BA137" s="6880"/>
      <c r="BB137" s="6880"/>
      <c r="BC137" s="6880"/>
      <c r="BD137" s="6880"/>
      <c r="BE137" s="6880"/>
      <c r="BF137" s="6880"/>
      <c r="BG137" s="6880"/>
      <c r="BH137" s="6880"/>
      <c r="BI137" s="6880"/>
      <c r="BJ137" s="6880"/>
      <c r="BK137" s="6880"/>
      <c r="BL137" s="6880"/>
      <c r="BM137" s="6880"/>
      <c r="BN137" s="6880"/>
      <c r="BO137" s="6880"/>
      <c r="BP137" s="6880"/>
      <c r="BQ137" s="6880"/>
      <c r="BR137" s="6880"/>
      <c r="BS137" s="6880"/>
      <c r="BT137" s="6880"/>
      <c r="BU137" s="6880"/>
      <c r="BV137" s="6880"/>
      <c r="BW137" s="6880"/>
      <c r="BX137" s="6880"/>
      <c r="BY137" s="6880"/>
      <c r="BZ137" s="6880"/>
      <c r="CA137" s="6880"/>
      <c r="CB137" s="6880"/>
      <c r="CC137" s="6880"/>
      <c r="CD137" s="6880"/>
      <c r="CE137" s="6880"/>
      <c r="CF137" s="6880"/>
      <c r="CG137" s="6880"/>
      <c r="CH137" s="6880"/>
      <c r="CI137" s="6880"/>
      <c r="CJ137" s="6880"/>
      <c r="CK137" s="6880"/>
      <c r="CL137" s="6880"/>
      <c r="CM137" s="6880"/>
      <c r="CN137" s="6880"/>
      <c r="CO137" s="6880"/>
      <c r="CP137" s="6880"/>
      <c r="CQ137" s="6880"/>
      <c r="CR137" s="6880"/>
      <c r="CS137" s="6880"/>
      <c r="CT137" s="6880"/>
      <c r="CU137" s="6880"/>
      <c r="CV137" s="6880"/>
      <c r="CW137" s="6880"/>
      <c r="CX137" s="6880"/>
      <c r="CY137" s="6880"/>
      <c r="CZ137" s="6880"/>
      <c r="DA137" s="6880"/>
      <c r="DB137" s="6880"/>
      <c r="DC137" s="6880"/>
      <c r="DD137" s="6880"/>
      <c r="DE137" s="6880"/>
      <c r="DF137" s="6880"/>
      <c r="DG137" s="6880"/>
      <c r="DH137" s="6880"/>
      <c r="DI137" s="6880"/>
      <c r="DJ137" s="6880"/>
      <c r="DK137" s="6880"/>
      <c r="DL137" s="6880"/>
      <c r="DM137" s="6880"/>
      <c r="DN137" s="6880"/>
      <c r="DO137" s="6880"/>
      <c r="DP137" s="6880"/>
      <c r="DQ137" s="6880"/>
      <c r="DR137" s="6880"/>
      <c r="DS137" s="6880"/>
      <c r="DT137" s="6880"/>
      <c r="DU137" s="6880"/>
      <c r="DV137" s="6880"/>
      <c r="DW137" s="6880"/>
      <c r="DX137" s="6880"/>
      <c r="DY137" s="6880"/>
      <c r="DZ137" s="6880"/>
      <c r="EA137" s="6880"/>
      <c r="EB137" s="19228"/>
      <c r="EC137" s="19228"/>
      <c r="ED137" s="19228"/>
      <c r="EE137" s="19228"/>
      <c r="EF137" s="19228"/>
      <c r="EG137" s="19228"/>
      <c r="EH137" s="19228"/>
      <c r="EI137" s="19228"/>
      <c r="EJ137" s="19228"/>
      <c r="EK137" s="19228"/>
      <c r="EL137" s="19228"/>
      <c r="EM137" s="19228"/>
      <c r="EN137" s="19228"/>
      <c r="EO137" s="19228"/>
      <c r="EP137" s="19228"/>
      <c r="EQ137" s="19228"/>
      <c r="ER137" s="19228"/>
      <c r="ES137" s="19228"/>
      <c r="ET137" s="19228"/>
      <c r="EU137" s="19228"/>
      <c r="EV137" s="19228"/>
      <c r="EW137" s="19228"/>
      <c r="EX137" s="6880"/>
      <c r="EY137" s="6880"/>
      <c r="EZ137" s="6889"/>
      <c r="FA137" s="7194"/>
      <c r="FB137" s="7194" t="str">
        <f>IF(T137="","",T137)</f>
        <v>Добавить территорию для дифференциации</v>
      </c>
      <c r="FC137" s="7194"/>
      <c r="FD137" s="7194"/>
    </row>
    <row s="32198" customFormat="1" customHeight="1" ht="0">
      <c r="A138" s="1680"/>
      <c r="B138" s="1680"/>
      <c r="C138" s="1680"/>
      <c r="D138" s="1680"/>
      <c r="E138" s="1709"/>
      <c r="F138" s="1680"/>
      <c r="G138" s="1680"/>
      <c r="H138" s="1680"/>
      <c r="I138" s="1680"/>
      <c r="J138" s="1680"/>
      <c r="K138" s="1680"/>
      <c r="L138" s="1860"/>
      <c r="M138" s="1687"/>
      <c r="N138" s="1687"/>
      <c r="P138" s="1682"/>
      <c r="Q138" s="1683"/>
      <c r="R138" s="1682"/>
      <c r="S138" s="1688"/>
      <c r="T138" s="1691" t="s">
        <v>294</v>
      </c>
      <c r="U138" s="1690"/>
      <c r="V138" s="1690"/>
      <c r="W138" s="1690"/>
      <c r="X138" s="1690"/>
      <c r="Y138" s="1690"/>
      <c r="Z138" s="1690"/>
      <c r="AA138" s="1690"/>
      <c r="AB138" s="1690"/>
      <c r="AC138" s="1690"/>
      <c r="AD138" s="1690"/>
      <c r="AE138" s="1690"/>
      <c r="AF138" s="1690"/>
      <c r="AG138" s="1690"/>
      <c r="AH138" s="1690"/>
      <c r="AI138" s="1690"/>
      <c r="AJ138" s="1690"/>
      <c r="AK138" s="1690"/>
      <c r="AL138" s="1690"/>
      <c r="AM138" s="1690"/>
      <c r="AN138" s="1690"/>
      <c r="AO138" s="1690"/>
      <c r="AP138" s="1690"/>
      <c r="AQ138" s="1690"/>
      <c r="AR138" s="6880"/>
      <c r="AS138" s="6880"/>
      <c r="AT138" s="6880"/>
      <c r="AU138" s="6880"/>
      <c r="AV138" s="6880"/>
      <c r="AW138" s="6880"/>
      <c r="AX138" s="6880"/>
      <c r="AY138" s="6880"/>
      <c r="AZ138" s="6880"/>
      <c r="BA138" s="6880"/>
      <c r="BB138" s="6880"/>
      <c r="BC138" s="6880"/>
      <c r="BD138" s="6880"/>
      <c r="BE138" s="6880"/>
      <c r="BF138" s="6880"/>
      <c r="BG138" s="6880"/>
      <c r="BH138" s="6880"/>
      <c r="BI138" s="6880"/>
      <c r="BJ138" s="6880"/>
      <c r="BK138" s="6880"/>
      <c r="BL138" s="6880"/>
      <c r="BM138" s="6880"/>
      <c r="BN138" s="6880"/>
      <c r="BO138" s="6880"/>
      <c r="BP138" s="6880"/>
      <c r="BQ138" s="6880"/>
      <c r="BR138" s="6880"/>
      <c r="BS138" s="6880"/>
      <c r="BT138" s="6880"/>
      <c r="BU138" s="6880"/>
      <c r="BV138" s="6880"/>
      <c r="BW138" s="6880"/>
      <c r="BX138" s="6880"/>
      <c r="BY138" s="6880"/>
      <c r="BZ138" s="6880"/>
      <c r="CA138" s="6880"/>
      <c r="CB138" s="6880"/>
      <c r="CC138" s="6880"/>
      <c r="CD138" s="6880"/>
      <c r="CE138" s="6880"/>
      <c r="CF138" s="6880"/>
      <c r="CG138" s="6880"/>
      <c r="CH138" s="6880"/>
      <c r="CI138" s="6880"/>
      <c r="CJ138" s="6880"/>
      <c r="CK138" s="6880"/>
      <c r="CL138" s="6880"/>
      <c r="CM138" s="6880"/>
      <c r="CN138" s="6880"/>
      <c r="CO138" s="6880"/>
      <c r="CP138" s="6880"/>
      <c r="CQ138" s="6880"/>
      <c r="CR138" s="6880"/>
      <c r="CS138" s="6880"/>
      <c r="CT138" s="6880"/>
      <c r="CU138" s="6880"/>
      <c r="CV138" s="6880"/>
      <c r="CW138" s="6880"/>
      <c r="CX138" s="6880"/>
      <c r="CY138" s="6880"/>
      <c r="CZ138" s="6880"/>
      <c r="DA138" s="6880"/>
      <c r="DB138" s="6880"/>
      <c r="DC138" s="6880"/>
      <c r="DD138" s="6880"/>
      <c r="DE138" s="6880"/>
      <c r="DF138" s="6880"/>
      <c r="DG138" s="6880"/>
      <c r="DH138" s="6880"/>
      <c r="DI138" s="6880"/>
      <c r="DJ138" s="6880"/>
      <c r="DK138" s="6880"/>
      <c r="DL138" s="6880"/>
      <c r="DM138" s="6880"/>
      <c r="DN138" s="6880"/>
      <c r="DO138" s="6880"/>
      <c r="DP138" s="6880"/>
      <c r="DQ138" s="6880"/>
      <c r="DR138" s="6880"/>
      <c r="DS138" s="6880"/>
      <c r="DT138" s="6880"/>
      <c r="DU138" s="6880"/>
      <c r="DV138" s="6880"/>
      <c r="DW138" s="6880"/>
      <c r="DX138" s="6880"/>
      <c r="DY138" s="6880"/>
      <c r="DZ138" s="6880"/>
      <c r="EA138" s="6880"/>
      <c r="EB138" s="19228"/>
      <c r="EC138" s="19228"/>
      <c r="ED138" s="19228"/>
      <c r="EE138" s="19228"/>
      <c r="EF138" s="19228"/>
      <c r="EG138" s="19228"/>
      <c r="EH138" s="19228"/>
      <c r="EI138" s="19228"/>
      <c r="EJ138" s="19228"/>
      <c r="EK138" s="19228"/>
      <c r="EL138" s="19228"/>
      <c r="EM138" s="19228"/>
      <c r="EN138" s="19228"/>
      <c r="EO138" s="19228"/>
      <c r="EP138" s="19228"/>
      <c r="EQ138" s="19228"/>
      <c r="ER138" s="19228"/>
      <c r="ES138" s="19228"/>
      <c r="ET138" s="19228"/>
      <c r="EU138" s="19228"/>
      <c r="EV138" s="19228"/>
      <c r="EW138" s="19228"/>
      <c r="EX138" s="1690"/>
      <c r="EY138" s="1690"/>
      <c r="FA138" s="1150"/>
      <c r="FB138" s="1150" t="str">
        <f>IF(T138="","",T138)</f>
        <v>Добавить наименование тарифа</v>
      </c>
      <c r="FC138" s="1150"/>
      <c r="FD138" s="1150"/>
    </row>
    <row customHeight="1" ht="11.25">
      <c r="M139" s="1523"/>
      <c r="N139" s="1523"/>
      <c r="O139" s="898"/>
      <c r="P139" s="1518"/>
      <c r="Q139" s="1518"/>
      <c r="R139" s="1518"/>
      <c r="S139" s="1518"/>
      <c r="AR139" s="6601"/>
      <c r="AS139" s="6601"/>
      <c r="AT139" s="6601"/>
      <c r="AU139" s="6601"/>
      <c r="AV139" s="6601"/>
      <c r="AW139" s="6601"/>
      <c r="AX139" s="6601"/>
      <c r="AY139" s="6601"/>
      <c r="AZ139" s="6601"/>
      <c r="BA139" s="6601"/>
      <c r="BB139" s="6601"/>
      <c r="BC139" s="6601"/>
      <c r="BD139" s="6601"/>
      <c r="BE139" s="6601"/>
      <c r="BF139" s="6601"/>
      <c r="BG139" s="6601"/>
      <c r="BH139" s="6601"/>
      <c r="BI139" s="6601"/>
      <c r="BJ139" s="6601"/>
      <c r="BK139" s="6601"/>
      <c r="BL139" s="6601"/>
      <c r="BM139" s="6601"/>
      <c r="BN139" s="6601"/>
      <c r="BO139" s="6601"/>
      <c r="BP139" s="6601"/>
      <c r="BQ139" s="6601"/>
      <c r="BR139" s="6601"/>
      <c r="BS139" s="6601"/>
      <c r="BT139" s="6601"/>
      <c r="BU139" s="6601"/>
      <c r="BV139" s="6601"/>
      <c r="BW139" s="6601"/>
      <c r="BX139" s="6601"/>
      <c r="BY139" s="6601"/>
      <c r="BZ139" s="6601"/>
      <c r="CA139" s="6601"/>
      <c r="CB139" s="6601"/>
      <c r="CC139" s="6601"/>
      <c r="CD139" s="6601"/>
      <c r="CE139" s="6601"/>
      <c r="CF139" s="6601"/>
      <c r="CG139" s="6601"/>
      <c r="CH139" s="6601"/>
      <c r="CI139" s="6601"/>
      <c r="CJ139" s="6601"/>
      <c r="CK139" s="6601"/>
      <c r="CL139" s="6601"/>
      <c r="CM139" s="6601"/>
      <c r="CN139" s="6601"/>
      <c r="CO139" s="6601"/>
      <c r="CP139" s="6601"/>
      <c r="CQ139" s="6601"/>
      <c r="CR139" s="6601"/>
      <c r="CS139" s="6601"/>
      <c r="CT139" s="6601"/>
      <c r="CU139" s="6601"/>
      <c r="CV139" s="6601"/>
      <c r="CW139" s="6601"/>
      <c r="CX139" s="6601"/>
      <c r="CY139" s="6601"/>
      <c r="CZ139" s="6601"/>
      <c r="DA139" s="6601"/>
      <c r="DB139" s="6601"/>
      <c r="DC139" s="6601"/>
      <c r="DD139" s="6601"/>
      <c r="DE139" s="6601"/>
      <c r="DF139" s="6601"/>
      <c r="DG139" s="6601"/>
      <c r="DH139" s="6601"/>
      <c r="DI139" s="6601"/>
      <c r="DJ139" s="6601"/>
      <c r="DK139" s="6601"/>
      <c r="DL139" s="6601"/>
      <c r="DM139" s="6601"/>
      <c r="DN139" s="6601"/>
      <c r="DO139" s="6601"/>
      <c r="DP139" s="6601"/>
      <c r="DQ139" s="6601"/>
      <c r="DR139" s="6601"/>
      <c r="DS139" s="6601"/>
      <c r="DT139" s="6601"/>
      <c r="DU139" s="6601"/>
      <c r="DV139" s="6601"/>
      <c r="DW139" s="6601"/>
      <c r="DX139" s="6601"/>
      <c r="DY139" s="6601"/>
      <c r="DZ139" s="6601"/>
      <c r="EA139" s="6601"/>
      <c r="EB139" s="18868"/>
      <c r="EC139" s="18868"/>
      <c r="ED139" s="18868"/>
      <c r="EE139" s="18868"/>
      <c r="EF139" s="18868"/>
      <c r="EG139" s="18868"/>
      <c r="EH139" s="18868"/>
      <c r="EI139" s="18868"/>
      <c r="EJ139" s="18868"/>
      <c r="EK139" s="18868"/>
      <c r="EL139" s="18868"/>
      <c r="EM139" s="18868"/>
      <c r="EN139" s="18868"/>
      <c r="EO139" s="18868"/>
      <c r="EP139" s="18868"/>
      <c r="EQ139" s="18868"/>
      <c r="ER139" s="18868"/>
      <c r="ES139" s="18868"/>
      <c r="ET139" s="18868"/>
      <c r="EU139" s="18868"/>
      <c r="EV139" s="18868"/>
      <c r="EW139" s="18868"/>
      <c r="EZ139" s="1518"/>
      <c r="FA139" s="1518"/>
      <c r="FB139" s="1518"/>
      <c r="FC139" s="1518"/>
      <c r="FD139" s="1518"/>
    </row>
    <row customHeight="1" ht="14.25">
      <c r="O140" s="898"/>
      <c r="S140" s="1618"/>
      <c r="T140" s="2526"/>
      <c r="U140" s="2526"/>
      <c r="V140" s="2526"/>
      <c r="W140" s="2526"/>
      <c r="X140" s="2526"/>
      <c r="Y140" s="2526"/>
      <c r="Z140" s="2526"/>
      <c r="AA140" s="2526"/>
      <c r="AB140" s="2526"/>
      <c r="AC140" s="2526"/>
      <c r="AD140" s="2526"/>
      <c r="AE140" s="2526"/>
      <c r="AF140" s="2526"/>
      <c r="AG140" s="2526"/>
      <c r="AH140" s="2526"/>
      <c r="AI140" s="2526"/>
      <c r="AJ140" s="2526"/>
      <c r="AK140" s="2526"/>
      <c r="AL140" s="2526"/>
      <c r="AM140" s="2526"/>
      <c r="AN140" s="2526"/>
      <c r="AO140" s="2526"/>
      <c r="AP140" s="2526"/>
      <c r="AQ140" s="2526"/>
      <c r="AR140" s="10061"/>
      <c r="AS140" s="10061"/>
      <c r="AT140" s="10061"/>
      <c r="AU140" s="10061"/>
      <c r="AV140" s="10061"/>
      <c r="AW140" s="10061"/>
      <c r="AX140" s="10061"/>
      <c r="AY140" s="10061"/>
      <c r="AZ140" s="10061"/>
      <c r="BA140" s="10061"/>
      <c r="BB140" s="10061"/>
      <c r="BC140" s="10061"/>
      <c r="BD140" s="10061"/>
      <c r="BE140" s="10061"/>
      <c r="BF140" s="10061"/>
      <c r="BG140" s="10061"/>
      <c r="BH140" s="10061"/>
      <c r="BI140" s="10061"/>
      <c r="BJ140" s="10061"/>
      <c r="BK140" s="10061"/>
      <c r="BL140" s="10061"/>
      <c r="BM140" s="10061"/>
      <c r="BN140" s="10061"/>
      <c r="BO140" s="10061"/>
      <c r="BP140" s="10061"/>
      <c r="BQ140" s="10061"/>
      <c r="BR140" s="10061"/>
      <c r="BS140" s="10061"/>
      <c r="BT140" s="10061"/>
      <c r="BU140" s="10061"/>
      <c r="BV140" s="10061"/>
      <c r="BW140" s="10061"/>
      <c r="BX140" s="10061"/>
      <c r="BY140" s="10061"/>
      <c r="BZ140" s="10061"/>
      <c r="CA140" s="10061"/>
      <c r="CB140" s="10061"/>
      <c r="CC140" s="10061"/>
      <c r="CD140" s="10061"/>
      <c r="CE140" s="10061"/>
      <c r="CF140" s="10061"/>
      <c r="CG140" s="10061"/>
      <c r="CH140" s="10061"/>
      <c r="CI140" s="10061"/>
      <c r="CJ140" s="10061"/>
      <c r="CK140" s="10061"/>
      <c r="CL140" s="10061"/>
      <c r="CM140" s="10061"/>
      <c r="CN140" s="10061"/>
      <c r="CO140" s="10061"/>
      <c r="CP140" s="10061"/>
      <c r="CQ140" s="10061"/>
      <c r="CR140" s="10061"/>
      <c r="CS140" s="10061"/>
      <c r="CT140" s="10061"/>
      <c r="CU140" s="10061"/>
      <c r="CV140" s="10061"/>
      <c r="CW140" s="10061"/>
      <c r="CX140" s="10061"/>
      <c r="CY140" s="10061"/>
      <c r="CZ140" s="10061"/>
      <c r="DA140" s="10061"/>
      <c r="DB140" s="10061"/>
      <c r="DC140" s="10061"/>
      <c r="DD140" s="10061"/>
      <c r="DE140" s="10061"/>
      <c r="DF140" s="10061"/>
      <c r="DG140" s="10061"/>
      <c r="DH140" s="10061"/>
      <c r="DI140" s="10061"/>
      <c r="DJ140" s="10061"/>
      <c r="DK140" s="10061"/>
      <c r="DL140" s="10061"/>
      <c r="DM140" s="10061"/>
      <c r="DN140" s="10061"/>
      <c r="DO140" s="10061"/>
      <c r="DP140" s="10061"/>
      <c r="DQ140" s="10061"/>
      <c r="DR140" s="10061"/>
      <c r="DS140" s="10061"/>
      <c r="DT140" s="10061"/>
      <c r="DU140" s="10061"/>
      <c r="DV140" s="10061"/>
      <c r="DW140" s="10061"/>
      <c r="DX140" s="10061"/>
      <c r="DY140" s="10061"/>
      <c r="DZ140" s="10061"/>
      <c r="EA140" s="10061"/>
      <c r="EB140" s="23036"/>
      <c r="EC140" s="23036"/>
      <c r="ED140" s="23036"/>
      <c r="EE140" s="23036"/>
      <c r="EF140" s="23036"/>
      <c r="EG140" s="23036"/>
      <c r="EH140" s="23036"/>
      <c r="EI140" s="23036"/>
      <c r="EJ140" s="23036"/>
      <c r="EK140" s="23036"/>
      <c r="EL140" s="23036"/>
      <c r="EM140" s="23036"/>
      <c r="EN140" s="23036"/>
      <c r="EO140" s="23036"/>
      <c r="EP140" s="23036"/>
      <c r="EQ140" s="23036"/>
      <c r="ER140" s="23036"/>
      <c r="ES140" s="23036"/>
      <c r="ET140" s="23036"/>
      <c r="EU140" s="23036"/>
      <c r="EV140" s="23036"/>
      <c r="EW140" s="23036"/>
      <c r="EX140" s="2526"/>
      <c r="EY140" s="2526"/>
    </row>
    <row customHeight="1" ht="14.25">
      <c r="O141" s="898"/>
      <c r="AR141" s="6601"/>
      <c r="AS141" s="6601"/>
      <c r="AT141" s="6601"/>
      <c r="AU141" s="6601"/>
      <c r="AV141" s="6601"/>
      <c r="AW141" s="6601"/>
      <c r="AX141" s="6601"/>
      <c r="AY141" s="6601"/>
      <c r="AZ141" s="6601"/>
      <c r="BA141" s="6601"/>
      <c r="BB141" s="6601"/>
      <c r="BC141" s="6601"/>
      <c r="BD141" s="6601"/>
      <c r="BE141" s="6601"/>
      <c r="BF141" s="6601"/>
      <c r="BG141" s="6601"/>
      <c r="BH141" s="6601"/>
      <c r="BI141" s="6601"/>
      <c r="BJ141" s="6601"/>
      <c r="BK141" s="6601"/>
      <c r="BL141" s="6601"/>
      <c r="BM141" s="6601"/>
      <c r="BN141" s="6601"/>
      <c r="BO141" s="6601"/>
      <c r="BP141" s="6601"/>
      <c r="BQ141" s="6601"/>
      <c r="BR141" s="6601"/>
      <c r="BS141" s="6601"/>
      <c r="BT141" s="6601"/>
      <c r="BU141" s="6601"/>
      <c r="BV141" s="6601"/>
      <c r="BW141" s="6601"/>
      <c r="BX141" s="6601"/>
      <c r="BY141" s="6601"/>
      <c r="BZ141" s="6601"/>
      <c r="CA141" s="6601"/>
      <c r="CB141" s="6601"/>
      <c r="CC141" s="6601"/>
      <c r="CD141" s="6601"/>
      <c r="CE141" s="6601"/>
      <c r="CF141" s="6601"/>
      <c r="CG141" s="6601"/>
      <c r="CH141" s="6601"/>
      <c r="CI141" s="6601"/>
      <c r="CJ141" s="6601"/>
      <c r="CK141" s="6601"/>
      <c r="CL141" s="6601"/>
      <c r="CM141" s="6601"/>
      <c r="CN141" s="6601"/>
      <c r="CO141" s="6601"/>
      <c r="CP141" s="6601"/>
      <c r="CQ141" s="6601"/>
      <c r="CR141" s="6601"/>
      <c r="CS141" s="6601"/>
      <c r="CT141" s="6601"/>
      <c r="CU141" s="6601"/>
      <c r="CV141" s="6601"/>
      <c r="CW141" s="6601"/>
      <c r="CX141" s="6601"/>
      <c r="CY141" s="6601"/>
      <c r="CZ141" s="6601"/>
      <c r="DA141" s="6601"/>
      <c r="DB141" s="6601"/>
      <c r="DC141" s="6601"/>
      <c r="DD141" s="6601"/>
      <c r="DE141" s="6601"/>
      <c r="DF141" s="6601"/>
      <c r="DG141" s="6601"/>
      <c r="DH141" s="6601"/>
      <c r="DI141" s="6601"/>
      <c r="DJ141" s="6601"/>
      <c r="DK141" s="6601"/>
      <c r="DL141" s="6601"/>
      <c r="DM141" s="6601"/>
      <c r="DN141" s="6601"/>
      <c r="DO141" s="6601"/>
      <c r="DP141" s="6601"/>
      <c r="DQ141" s="6601"/>
      <c r="DR141" s="6601"/>
      <c r="DS141" s="6601"/>
      <c r="DT141" s="6601"/>
      <c r="DU141" s="6601"/>
      <c r="DV141" s="6601"/>
      <c r="DW141" s="6601"/>
      <c r="DX141" s="6601"/>
      <c r="DY141" s="6601"/>
      <c r="DZ141" s="6601"/>
      <c r="EA141" s="6601"/>
      <c r="EB141" s="18868"/>
      <c r="EC141" s="18868"/>
      <c r="ED141" s="18868"/>
      <c r="EE141" s="18868"/>
      <c r="EF141" s="18868"/>
      <c r="EG141" s="18868"/>
      <c r="EH141" s="18868"/>
      <c r="EI141" s="18868"/>
      <c r="EJ141" s="18868"/>
      <c r="EK141" s="18868"/>
      <c r="EL141" s="18868"/>
      <c r="EM141" s="18868"/>
      <c r="EN141" s="18868"/>
      <c r="EO141" s="18868"/>
      <c r="EP141" s="18868"/>
      <c r="EQ141" s="18868"/>
      <c r="ER141" s="18868"/>
      <c r="ES141" s="18868"/>
      <c r="ET141" s="18868"/>
      <c r="EU141" s="18868"/>
      <c r="EV141" s="18868"/>
      <c r="EW141" s="18868"/>
    </row>
    <row customHeight="1" ht="14.25">
      <c r="O142" s="898"/>
      <c r="S142" s="1618"/>
      <c r="T142" s="2526"/>
      <c r="U142" s="2526"/>
      <c r="V142" s="2526"/>
      <c r="W142" s="2526"/>
      <c r="X142" s="2526"/>
      <c r="Y142" s="2526"/>
      <c r="Z142" s="2526"/>
      <c r="AA142" s="2526"/>
      <c r="AB142" s="2526"/>
      <c r="AC142" s="2526"/>
      <c r="AD142" s="2526"/>
      <c r="AE142" s="2526"/>
      <c r="AF142" s="2526"/>
      <c r="AG142" s="2526"/>
      <c r="AH142" s="2526"/>
      <c r="AI142" s="2526"/>
      <c r="AJ142" s="2526"/>
      <c r="AK142" s="2526"/>
      <c r="AL142" s="2526"/>
      <c r="AM142" s="2526"/>
      <c r="AN142" s="2526"/>
      <c r="AO142" s="2526"/>
      <c r="AP142" s="2526"/>
      <c r="AQ142" s="2526"/>
      <c r="AR142" s="10061"/>
      <c r="AS142" s="10061"/>
      <c r="AT142" s="10061"/>
      <c r="AU142" s="10061"/>
      <c r="AV142" s="10061"/>
      <c r="AW142" s="10061"/>
      <c r="AX142" s="10061"/>
      <c r="AY142" s="10061"/>
      <c r="AZ142" s="10061"/>
      <c r="BA142" s="10061"/>
      <c r="BB142" s="10061"/>
      <c r="BC142" s="10061"/>
      <c r="BD142" s="10061"/>
      <c r="BE142" s="10061"/>
      <c r="BF142" s="10061"/>
      <c r="BG142" s="10061"/>
      <c r="BH142" s="10061"/>
      <c r="BI142" s="10061"/>
      <c r="BJ142" s="10061"/>
      <c r="BK142" s="10061"/>
      <c r="BL142" s="10061"/>
      <c r="BM142" s="10061"/>
      <c r="BN142" s="10061"/>
      <c r="BO142" s="10061"/>
      <c r="BP142" s="10061"/>
      <c r="BQ142" s="10061"/>
      <c r="BR142" s="10061"/>
      <c r="BS142" s="10061"/>
      <c r="BT142" s="10061"/>
      <c r="BU142" s="10061"/>
      <c r="BV142" s="10061"/>
      <c r="BW142" s="10061"/>
      <c r="BX142" s="10061"/>
      <c r="BY142" s="10061"/>
      <c r="BZ142" s="10061"/>
      <c r="CA142" s="10061"/>
      <c r="CB142" s="10061"/>
      <c r="CC142" s="10061"/>
      <c r="CD142" s="10061"/>
      <c r="CE142" s="10061"/>
      <c r="CF142" s="10061"/>
      <c r="CG142" s="10061"/>
      <c r="CH142" s="10061"/>
      <c r="CI142" s="10061"/>
      <c r="CJ142" s="10061"/>
      <c r="CK142" s="10061"/>
      <c r="CL142" s="10061"/>
      <c r="CM142" s="10061"/>
      <c r="CN142" s="10061"/>
      <c r="CO142" s="10061"/>
      <c r="CP142" s="10061"/>
      <c r="CQ142" s="10061"/>
      <c r="CR142" s="10061"/>
      <c r="CS142" s="10061"/>
      <c r="CT142" s="10061"/>
      <c r="CU142" s="10061"/>
      <c r="CV142" s="10061"/>
      <c r="CW142" s="10061"/>
      <c r="CX142" s="10061"/>
      <c r="CY142" s="10061"/>
      <c r="CZ142" s="10061"/>
      <c r="DA142" s="10061"/>
      <c r="DB142" s="10061"/>
      <c r="DC142" s="10061"/>
      <c r="DD142" s="10061"/>
      <c r="DE142" s="10061"/>
      <c r="DF142" s="10061"/>
      <c r="DG142" s="10061"/>
      <c r="DH142" s="10061"/>
      <c r="DI142" s="10061"/>
      <c r="DJ142" s="10061"/>
      <c r="DK142" s="10061"/>
      <c r="DL142" s="10061"/>
      <c r="DM142" s="10061"/>
      <c r="DN142" s="10061"/>
      <c r="DO142" s="10061"/>
      <c r="DP142" s="10061"/>
      <c r="DQ142" s="10061"/>
      <c r="DR142" s="10061"/>
      <c r="DS142" s="10061"/>
      <c r="DT142" s="10061"/>
      <c r="DU142" s="10061"/>
      <c r="DV142" s="10061"/>
      <c r="DW142" s="10061"/>
      <c r="DX142" s="10061"/>
      <c r="DY142" s="10061"/>
      <c r="DZ142" s="10061"/>
      <c r="EA142" s="10061"/>
      <c r="EB142" s="23036"/>
      <c r="EC142" s="23036"/>
      <c r="ED142" s="23036"/>
      <c r="EE142" s="23036"/>
      <c r="EF142" s="23036"/>
      <c r="EG142" s="23036"/>
      <c r="EH142" s="23036"/>
      <c r="EI142" s="23036"/>
      <c r="EJ142" s="23036"/>
      <c r="EK142" s="23036"/>
      <c r="EL142" s="23036"/>
      <c r="EM142" s="23036"/>
      <c r="EN142" s="23036"/>
      <c r="EO142" s="23036"/>
      <c r="EP142" s="23036"/>
      <c r="EQ142" s="23036"/>
      <c r="ER142" s="23036"/>
      <c r="ES142" s="23036"/>
      <c r="ET142" s="23036"/>
      <c r="EU142" s="23036"/>
      <c r="EV142" s="23036"/>
      <c r="EW142" s="23036"/>
      <c r="EX142" s="2526"/>
      <c r="EY142" s="2526"/>
    </row>
  </sheetData>
  <sheetProtection formatColumns="0" formatRows="0" autoFilter="0" sort="0" insertRows="0" insertColumns="1" deleteRows="0" deleteColumns="0"/>
  <mergeCells count="909">
    <mergeCell ref="AH38:AJ38"/>
    <mergeCell ref="AK38:AM38"/>
    <mergeCell ref="AH39:AH40"/>
    <mergeCell ref="AI39:AJ39"/>
    <mergeCell ref="AK39:AK40"/>
    <mergeCell ref="X39:Y39"/>
    <mergeCell ref="W39:W40"/>
    <mergeCell ref="Z39:Z40"/>
    <mergeCell ref="AA39:AB39"/>
    <mergeCell ref="W38:Y38"/>
    <mergeCell ref="E2:E13"/>
    <mergeCell ref="V2:AF2"/>
    <mergeCell ref="AG2:EX2"/>
    <mergeCell ref="F3:F12"/>
    <mergeCell ref="V3:AF3"/>
    <mergeCell ref="AG3:EX3"/>
    <mergeCell ref="G4:G11"/>
    <mergeCell ref="V4:AF4"/>
    <mergeCell ref="AG4:EX4"/>
    <mergeCell ref="H5:H11"/>
    <mergeCell ref="I5:I10"/>
    <mergeCell ref="P5:P10"/>
    <mergeCell ref="V5:AF5"/>
    <mergeCell ref="AG5:EX5"/>
    <mergeCell ref="J6:J9"/>
    <mergeCell ref="Q6:Q9"/>
    <mergeCell ref="V6:AF6"/>
    <mergeCell ref="AG6:EX6"/>
    <mergeCell ref="K7:K8"/>
    <mergeCell ref="AC7:AC8"/>
    <mergeCell ref="AQ7:AQ8"/>
    <mergeCell ref="S29:T29"/>
    <mergeCell ref="AG38:AG40"/>
    <mergeCell ref="EY7:EY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EY36:EY40"/>
    <mergeCell ref="S37:S40"/>
    <mergeCell ref="T37:T40"/>
    <mergeCell ref="V37:AE37"/>
    <mergeCell ref="AF37:AF40"/>
    <mergeCell ref="AG37:AP37"/>
    <mergeCell ref="AQ37:AQ40"/>
    <mergeCell ref="S32:T32"/>
    <mergeCell ref="V32:AE32"/>
    <mergeCell ref="AG32:AP32"/>
    <mergeCell ref="S33:T33"/>
    <mergeCell ref="V33:AE33"/>
    <mergeCell ref="AG33:AP33"/>
    <mergeCell ref="EX37:EX40"/>
    <mergeCell ref="AD40:AE40"/>
    <mergeCell ref="AO40:AP40"/>
    <mergeCell ref="V35:AF35"/>
    <mergeCell ref="AG35:AQ35"/>
    <mergeCell ref="S36:EX36"/>
    <mergeCell ref="AN38:AP39"/>
    <mergeCell ref="AC38:AE39"/>
    <mergeCell ref="AL39:AM39"/>
    <mergeCell ref="Z38:AB38"/>
    <mergeCell ref="V38:V40"/>
    <mergeCell ref="AD41:AE41"/>
    <mergeCell ref="AO41:AP41"/>
    <mergeCell ref="E42:E73"/>
    <mergeCell ref="V42:AF42"/>
    <mergeCell ref="AG42:EX42"/>
    <mergeCell ref="F43:F52"/>
    <mergeCell ref="V43:AF43"/>
    <mergeCell ref="AG43:EX43"/>
    <mergeCell ref="G44:G51"/>
    <mergeCell ref="V44:AF44"/>
    <mergeCell ref="AG44:EX44"/>
    <mergeCell ref="H45:H51"/>
    <mergeCell ref="I45:I50"/>
    <mergeCell ref="P45:P50"/>
    <mergeCell ref="V45:AF45"/>
    <mergeCell ref="AG45:EX45"/>
    <mergeCell ref="J46:J49"/>
    <mergeCell ref="Q46:Q49"/>
    <mergeCell ref="V46:AF46"/>
    <mergeCell ref="AG46:EX46"/>
    <mergeCell ref="AO47:AO48"/>
    <mergeCell ref="AP47:AP48"/>
    <mergeCell ref="AQ47:AQ48"/>
    <mergeCell ref="EY47:EY48"/>
    <mergeCell ref="T140:EY140"/>
    <mergeCell ref="T142:EY142"/>
    <mergeCell ref="K47:K48"/>
    <mergeCell ref="AN47:AN48"/>
    <mergeCell ref="E74:E105"/>
    <mergeCell ref="V74:AF74"/>
    <mergeCell ref="AG74:EX74"/>
    <mergeCell ref="F75:F84"/>
    <mergeCell ref="V75:AF75"/>
    <mergeCell ref="AG75:EX75"/>
    <mergeCell ref="G76:G83"/>
    <mergeCell ref="V76:AF76"/>
    <mergeCell ref="AG76:EX76"/>
    <mergeCell ref="H77:H83"/>
    <mergeCell ref="I77:I82"/>
    <mergeCell ref="P77:P82"/>
    <mergeCell ref="V77:AF77"/>
    <mergeCell ref="AG77:EX77"/>
    <mergeCell ref="J78:J81"/>
    <mergeCell ref="Q78:Q81"/>
    <mergeCell ref="V78:AF78"/>
    <mergeCell ref="AG78:EX78"/>
    <mergeCell ref="K79:K80"/>
    <mergeCell ref="AC79:AC80"/>
    <mergeCell ref="AQ79:AQ80"/>
    <mergeCell ref="EY79:EY80"/>
    <mergeCell ref="AD79:AD80"/>
    <mergeCell ref="AE79:AE80"/>
    <mergeCell ref="AF79:AF80"/>
    <mergeCell ref="AN79:AN80"/>
    <mergeCell ref="AO79:AO80"/>
    <mergeCell ref="AP79:AP80"/>
    <mergeCell ref="E106:E137"/>
    <mergeCell ref="V106:AF106"/>
    <mergeCell ref="AG106:EX106"/>
    <mergeCell ref="F107:F116"/>
    <mergeCell ref="V107:AF107"/>
    <mergeCell ref="AG107:EX107"/>
    <mergeCell ref="G108:G115"/>
    <mergeCell ref="V108:AF108"/>
    <mergeCell ref="AG108:EX108"/>
    <mergeCell ref="H109:H115"/>
    <mergeCell ref="I109:I114"/>
    <mergeCell ref="P109:P114"/>
    <mergeCell ref="V109:AF109"/>
    <mergeCell ref="AG109:EX109"/>
    <mergeCell ref="J110:J113"/>
    <mergeCell ref="Q110:Q113"/>
    <mergeCell ref="V110:AF110"/>
    <mergeCell ref="AG110:EX110"/>
    <mergeCell ref="K111:K112"/>
    <mergeCell ref="AC111:AC112"/>
    <mergeCell ref="AQ111:AQ112"/>
    <mergeCell ref="EY111:EY112"/>
    <mergeCell ref="AD111:AD112"/>
    <mergeCell ref="AE111:AE112"/>
    <mergeCell ref="AF111:AF112"/>
    <mergeCell ref="AN111:AN112"/>
    <mergeCell ref="AO111:AO112"/>
    <mergeCell ref="AP111:AP112"/>
    <mergeCell ref="F53:F62"/>
    <mergeCell ref="V53:AF53"/>
    <mergeCell ref="AG53:EX53"/>
    <mergeCell ref="G54:G61"/>
    <mergeCell ref="V54:AF54"/>
    <mergeCell ref="AG54:EX54"/>
    <mergeCell ref="H55:H61"/>
    <mergeCell ref="I55:I60"/>
    <mergeCell ref="P55:P60"/>
    <mergeCell ref="V55:AF55"/>
    <mergeCell ref="AG55:EX55"/>
    <mergeCell ref="J56:J59"/>
    <mergeCell ref="Q56:Q59"/>
    <mergeCell ref="V56:AF56"/>
    <mergeCell ref="AG56:EX56"/>
    <mergeCell ref="K57:K58"/>
    <mergeCell ref="AC57:AC58"/>
    <mergeCell ref="AQ57:AQ58"/>
    <mergeCell ref="EY57:EY58"/>
    <mergeCell ref="AD57:AD58"/>
    <mergeCell ref="AE57:AE58"/>
    <mergeCell ref="AF57:AF58"/>
    <mergeCell ref="AN57:AN58"/>
    <mergeCell ref="AO57:AO58"/>
    <mergeCell ref="AP57:AP58"/>
    <mergeCell ref="F63:F72"/>
    <mergeCell ref="V63:AF63"/>
    <mergeCell ref="AG63:EX63"/>
    <mergeCell ref="G64:G71"/>
    <mergeCell ref="V64:AF64"/>
    <mergeCell ref="AG64:EX64"/>
    <mergeCell ref="H65:H71"/>
    <mergeCell ref="I65:I70"/>
    <mergeCell ref="P65:P70"/>
    <mergeCell ref="V65:AF65"/>
    <mergeCell ref="AG65:EX65"/>
    <mergeCell ref="J66:J69"/>
    <mergeCell ref="Q66:Q69"/>
    <mergeCell ref="V66:AF66"/>
    <mergeCell ref="AG66:EX66"/>
    <mergeCell ref="K67:K68"/>
    <mergeCell ref="AC67:AC68"/>
    <mergeCell ref="AQ67:AQ68"/>
    <mergeCell ref="EY67:EY68"/>
    <mergeCell ref="AD67:AD68"/>
    <mergeCell ref="AE67:AE68"/>
    <mergeCell ref="AF67:AF68"/>
    <mergeCell ref="AN67:AN68"/>
    <mergeCell ref="AO67:AO68"/>
    <mergeCell ref="AP67:AP68"/>
    <mergeCell ref="F85:F94"/>
    <mergeCell ref="V85:AF85"/>
    <mergeCell ref="AG85:EX85"/>
    <mergeCell ref="G86:G93"/>
    <mergeCell ref="V86:AF86"/>
    <mergeCell ref="AG86:EX86"/>
    <mergeCell ref="H87:H93"/>
    <mergeCell ref="I87:I92"/>
    <mergeCell ref="P87:P92"/>
    <mergeCell ref="V87:AF87"/>
    <mergeCell ref="AG87:EX87"/>
    <mergeCell ref="J88:J91"/>
    <mergeCell ref="Q88:Q91"/>
    <mergeCell ref="V88:AF88"/>
    <mergeCell ref="AG88:EX88"/>
    <mergeCell ref="K89:K90"/>
    <mergeCell ref="AC89:AC90"/>
    <mergeCell ref="AQ89:AQ90"/>
    <mergeCell ref="EY89:EY90"/>
    <mergeCell ref="AD89:AD90"/>
    <mergeCell ref="AE89:AE90"/>
    <mergeCell ref="AF89:AF90"/>
    <mergeCell ref="AN89:AN90"/>
    <mergeCell ref="AO89:AO90"/>
    <mergeCell ref="AP89:AP90"/>
    <mergeCell ref="F95:F104"/>
    <mergeCell ref="V95:AF95"/>
    <mergeCell ref="AG95:EX95"/>
    <mergeCell ref="G96:G103"/>
    <mergeCell ref="V96:AF96"/>
    <mergeCell ref="AG96:EX96"/>
    <mergeCell ref="H97:H103"/>
    <mergeCell ref="I97:I102"/>
    <mergeCell ref="P97:P102"/>
    <mergeCell ref="V97:AF97"/>
    <mergeCell ref="AG97:EX97"/>
    <mergeCell ref="J98:J101"/>
    <mergeCell ref="Q98:Q101"/>
    <mergeCell ref="V98:AF98"/>
    <mergeCell ref="AG98:EX98"/>
    <mergeCell ref="K99:K100"/>
    <mergeCell ref="AC99:AC100"/>
    <mergeCell ref="AQ99:AQ100"/>
    <mergeCell ref="EY99:EY100"/>
    <mergeCell ref="AD99:AD100"/>
    <mergeCell ref="AE99:AE100"/>
    <mergeCell ref="AF99:AF100"/>
    <mergeCell ref="AN99:AN100"/>
    <mergeCell ref="AO99:AO100"/>
    <mergeCell ref="AP99:AP100"/>
    <mergeCell ref="F117:F126"/>
    <mergeCell ref="V117:AF117"/>
    <mergeCell ref="AG117:EX117"/>
    <mergeCell ref="G118:G125"/>
    <mergeCell ref="V118:AF118"/>
    <mergeCell ref="AG118:EX118"/>
    <mergeCell ref="H119:H125"/>
    <mergeCell ref="I119:I124"/>
    <mergeCell ref="P119:P124"/>
    <mergeCell ref="V119:AF119"/>
    <mergeCell ref="AG119:EX119"/>
    <mergeCell ref="J120:J123"/>
    <mergeCell ref="Q120:Q123"/>
    <mergeCell ref="V120:AF120"/>
    <mergeCell ref="AG120:EX120"/>
    <mergeCell ref="K121:K122"/>
    <mergeCell ref="AC121:AC122"/>
    <mergeCell ref="AQ121:AQ122"/>
    <mergeCell ref="EY121:EY122"/>
    <mergeCell ref="AD121:AD122"/>
    <mergeCell ref="AE121:AE122"/>
    <mergeCell ref="AF121:AF122"/>
    <mergeCell ref="AN121:AN122"/>
    <mergeCell ref="AO121:AO122"/>
    <mergeCell ref="AP121:AP122"/>
    <mergeCell ref="F127:F136"/>
    <mergeCell ref="V127:AF127"/>
    <mergeCell ref="AG127:EX127"/>
    <mergeCell ref="G128:G135"/>
    <mergeCell ref="V128:AF128"/>
    <mergeCell ref="AG128:EX128"/>
    <mergeCell ref="H129:H135"/>
    <mergeCell ref="I129:I134"/>
    <mergeCell ref="P129:P134"/>
    <mergeCell ref="V129:AF129"/>
    <mergeCell ref="AG129:EX129"/>
    <mergeCell ref="J130:J133"/>
    <mergeCell ref="Q130:Q133"/>
    <mergeCell ref="V130:AF130"/>
    <mergeCell ref="AG130:EX130"/>
    <mergeCell ref="K131:K132"/>
    <mergeCell ref="AC131:AC132"/>
    <mergeCell ref="AQ131:AQ132"/>
    <mergeCell ref="EY131:EY132"/>
    <mergeCell ref="AD131:AD132"/>
    <mergeCell ref="AE131:AE132"/>
    <mergeCell ref="AF131:AF132"/>
    <mergeCell ref="AN131:AN132"/>
    <mergeCell ref="AO131:AO132"/>
    <mergeCell ref="AP131:AP132"/>
    <mergeCell ref="AT39:AU39"/>
    <mergeCell ref="AS39:AS40"/>
    <mergeCell ref="AV39:AV40"/>
    <mergeCell ref="AW39:AX39"/>
    <mergeCell ref="AS38:AU38"/>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R38:AR40"/>
    <mergeCell ref="AV38:AX38"/>
    <mergeCell ref="AY38:BA39"/>
    <mergeCell ref="AZ40:BA40"/>
    <mergeCell ref="AZ41:BA41"/>
    <mergeCell ref="AY57:AY58"/>
    <mergeCell ref="AZ57:AZ58"/>
    <mergeCell ref="BA57:BA58"/>
    <mergeCell ref="BB57:BB58"/>
    <mergeCell ref="AY67:AY68"/>
    <mergeCell ref="AZ67:AZ68"/>
    <mergeCell ref="BA67:BA68"/>
    <mergeCell ref="BB67:BB68"/>
    <mergeCell ref="AY79:AY80"/>
    <mergeCell ref="AZ79:AZ80"/>
    <mergeCell ref="BA79:BA80"/>
    <mergeCell ref="BB79:BB80"/>
    <mergeCell ref="AY89:AY90"/>
    <mergeCell ref="AZ89:AZ90"/>
    <mergeCell ref="BA89:BA90"/>
    <mergeCell ref="BB89:BB90"/>
    <mergeCell ref="AY99:AY100"/>
    <mergeCell ref="AZ99:AZ100"/>
    <mergeCell ref="BA99:BA100"/>
    <mergeCell ref="BB99:BB100"/>
    <mergeCell ref="AY111:AY112"/>
    <mergeCell ref="AZ111:AZ112"/>
    <mergeCell ref="BA111:BA112"/>
    <mergeCell ref="BB111:BB112"/>
    <mergeCell ref="AY121:AY122"/>
    <mergeCell ref="AZ121:AZ122"/>
    <mergeCell ref="BA121:BA122"/>
    <mergeCell ref="BB121:BB122"/>
    <mergeCell ref="AY131:AY132"/>
    <mergeCell ref="AZ131:AZ132"/>
    <mergeCell ref="BA131:BA132"/>
    <mergeCell ref="BB131:BB132"/>
    <mergeCell ref="BE39:BF39"/>
    <mergeCell ref="BD39:BD40"/>
    <mergeCell ref="BG39:BG40"/>
    <mergeCell ref="BH39:BI39"/>
    <mergeCell ref="BD38:BF38"/>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C38:BC40"/>
    <mergeCell ref="BG38:BI38"/>
    <mergeCell ref="BJ38:BL39"/>
    <mergeCell ref="BK40:BL40"/>
    <mergeCell ref="BK41:BL41"/>
    <mergeCell ref="BJ57:BJ58"/>
    <mergeCell ref="BK57:BK58"/>
    <mergeCell ref="BL57:BL58"/>
    <mergeCell ref="BM57:BM58"/>
    <mergeCell ref="BJ67:BJ68"/>
    <mergeCell ref="BK67:BK68"/>
    <mergeCell ref="BL67:BL68"/>
    <mergeCell ref="BM67:BM68"/>
    <mergeCell ref="BJ79:BJ80"/>
    <mergeCell ref="BK79:BK80"/>
    <mergeCell ref="BL79:BL80"/>
    <mergeCell ref="BM79:BM80"/>
    <mergeCell ref="BJ89:BJ90"/>
    <mergeCell ref="BK89:BK90"/>
    <mergeCell ref="BL89:BL90"/>
    <mergeCell ref="BM89:BM90"/>
    <mergeCell ref="BJ99:BJ100"/>
    <mergeCell ref="BK99:BK100"/>
    <mergeCell ref="BL99:BL100"/>
    <mergeCell ref="BM99:BM100"/>
    <mergeCell ref="BJ111:BJ112"/>
    <mergeCell ref="BK111:BK112"/>
    <mergeCell ref="BL111:BL112"/>
    <mergeCell ref="BM111:BM112"/>
    <mergeCell ref="BJ121:BJ122"/>
    <mergeCell ref="BK121:BK122"/>
    <mergeCell ref="BL121:BL122"/>
    <mergeCell ref="BM121:BM122"/>
    <mergeCell ref="BJ131:BJ132"/>
    <mergeCell ref="BK131:BK132"/>
    <mergeCell ref="BL131:BL132"/>
    <mergeCell ref="BM131:BM132"/>
    <mergeCell ref="BB47:BB48"/>
    <mergeCell ref="AY47:AY48"/>
    <mergeCell ref="AZ47:AZ48"/>
    <mergeCell ref="BA47:BA48"/>
    <mergeCell ref="BM47:BM48"/>
    <mergeCell ref="BJ47:BJ48"/>
    <mergeCell ref="BK47:BK48"/>
    <mergeCell ref="BL47:BL48"/>
    <mergeCell ref="AF47:AF48"/>
    <mergeCell ref="AC47:AC48"/>
    <mergeCell ref="AD47:AD48"/>
    <mergeCell ref="AE47:AE48"/>
    <mergeCell ref="BP39:BQ39"/>
    <mergeCell ref="BO39:BO40"/>
    <mergeCell ref="BR39:BR40"/>
    <mergeCell ref="BS39:BT39"/>
    <mergeCell ref="BO38:BQ38"/>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N38:BN40"/>
    <mergeCell ref="BR38:BT38"/>
    <mergeCell ref="BU38:BW39"/>
    <mergeCell ref="BV40:BW40"/>
    <mergeCell ref="BV41:BW41"/>
    <mergeCell ref="BU47:BU48"/>
    <mergeCell ref="BV47:BV48"/>
    <mergeCell ref="BW47:BW48"/>
    <mergeCell ref="BX47:BX48"/>
    <mergeCell ref="BU57:BU58"/>
    <mergeCell ref="BV57:BV58"/>
    <mergeCell ref="BW57:BW58"/>
    <mergeCell ref="BX57:BX58"/>
    <mergeCell ref="BU67:BU68"/>
    <mergeCell ref="BV67:BV68"/>
    <mergeCell ref="BW67:BW68"/>
    <mergeCell ref="BX67:BX68"/>
    <mergeCell ref="BU79:BU80"/>
    <mergeCell ref="BV79:BV80"/>
    <mergeCell ref="BW79:BW80"/>
    <mergeCell ref="BX79:BX80"/>
    <mergeCell ref="BU89:BU90"/>
    <mergeCell ref="BV89:BV90"/>
    <mergeCell ref="BW89:BW90"/>
    <mergeCell ref="BX89:BX90"/>
    <mergeCell ref="BU99:BU100"/>
    <mergeCell ref="BV99:BV100"/>
    <mergeCell ref="BW99:BW100"/>
    <mergeCell ref="BX99:BX100"/>
    <mergeCell ref="BU111:BU112"/>
    <mergeCell ref="BV111:BV112"/>
    <mergeCell ref="BW111:BW112"/>
    <mergeCell ref="BX111:BX112"/>
    <mergeCell ref="BU121:BU122"/>
    <mergeCell ref="BV121:BV122"/>
    <mergeCell ref="BW121:BW122"/>
    <mergeCell ref="BX121:BX122"/>
    <mergeCell ref="BU131:BU132"/>
    <mergeCell ref="BV131:BV132"/>
    <mergeCell ref="BW131:BW132"/>
    <mergeCell ref="BX131:BX132"/>
    <mergeCell ref="CA39:CB39"/>
    <mergeCell ref="BZ39:BZ40"/>
    <mergeCell ref="CC39:CC40"/>
    <mergeCell ref="CD39:CE39"/>
    <mergeCell ref="BZ38:CB38"/>
    <mergeCell ref="CF7:CF8"/>
    <mergeCell ref="CG7:CG8"/>
    <mergeCell ref="CH7:CH8"/>
    <mergeCell ref="CI7:CI8"/>
    <mergeCell ref="BY27:CH27"/>
    <mergeCell ref="BY28:CH28"/>
    <mergeCell ref="BY29:CH29"/>
    <mergeCell ref="BY30:CH30"/>
    <mergeCell ref="BY32:CH32"/>
    <mergeCell ref="BY33:CH33"/>
    <mergeCell ref="BY35:CI35"/>
    <mergeCell ref="BY37:CH37"/>
    <mergeCell ref="CI37:CI40"/>
    <mergeCell ref="BY38:BY40"/>
    <mergeCell ref="CC38:CE38"/>
    <mergeCell ref="CF38:CH39"/>
    <mergeCell ref="CG40:CH40"/>
    <mergeCell ref="CG41:CH41"/>
    <mergeCell ref="CF47:CF48"/>
    <mergeCell ref="CG47:CG48"/>
    <mergeCell ref="CH47:CH48"/>
    <mergeCell ref="CI47:CI48"/>
    <mergeCell ref="CF57:CF58"/>
    <mergeCell ref="CG57:CG58"/>
    <mergeCell ref="CH57:CH58"/>
    <mergeCell ref="CI57:CI58"/>
    <mergeCell ref="CF67:CF68"/>
    <mergeCell ref="CG67:CG68"/>
    <mergeCell ref="CH67:CH68"/>
    <mergeCell ref="CI67:CI68"/>
    <mergeCell ref="CF79:CF80"/>
    <mergeCell ref="CG79:CG80"/>
    <mergeCell ref="CH79:CH80"/>
    <mergeCell ref="CI79:CI80"/>
    <mergeCell ref="CF89:CF90"/>
    <mergeCell ref="CG89:CG90"/>
    <mergeCell ref="CH89:CH90"/>
    <mergeCell ref="CI89:CI90"/>
    <mergeCell ref="CF99:CF100"/>
    <mergeCell ref="CG99:CG100"/>
    <mergeCell ref="CH99:CH100"/>
    <mergeCell ref="CI99:CI100"/>
    <mergeCell ref="CF111:CF112"/>
    <mergeCell ref="CG111:CG112"/>
    <mergeCell ref="CH111:CH112"/>
    <mergeCell ref="CI111:CI112"/>
    <mergeCell ref="CF121:CF122"/>
    <mergeCell ref="CG121:CG122"/>
    <mergeCell ref="CH121:CH122"/>
    <mergeCell ref="CI121:CI122"/>
    <mergeCell ref="CF131:CF132"/>
    <mergeCell ref="CG131:CG132"/>
    <mergeCell ref="CH131:CH132"/>
    <mergeCell ref="CI131:CI132"/>
    <mergeCell ref="CL39:CM39"/>
    <mergeCell ref="CK39:CK40"/>
    <mergeCell ref="CN39:CN40"/>
    <mergeCell ref="CO39:CP39"/>
    <mergeCell ref="CK38:CM38"/>
    <mergeCell ref="CQ7:CQ8"/>
    <mergeCell ref="CR7:CR8"/>
    <mergeCell ref="CS7:CS8"/>
    <mergeCell ref="CT7:CT8"/>
    <mergeCell ref="CJ27:CS27"/>
    <mergeCell ref="CJ28:CS28"/>
    <mergeCell ref="CJ29:CS29"/>
    <mergeCell ref="CJ30:CS30"/>
    <mergeCell ref="CJ32:CS32"/>
    <mergeCell ref="CJ33:CS33"/>
    <mergeCell ref="CJ35:CT35"/>
    <mergeCell ref="CJ37:CS37"/>
    <mergeCell ref="CT37:CT40"/>
    <mergeCell ref="CJ38:CJ40"/>
    <mergeCell ref="CN38:CP38"/>
    <mergeCell ref="CQ38:CS39"/>
    <mergeCell ref="CR40:CS40"/>
    <mergeCell ref="CR41:CS41"/>
    <mergeCell ref="CQ47:CQ48"/>
    <mergeCell ref="CR47:CR48"/>
    <mergeCell ref="CS47:CS48"/>
    <mergeCell ref="CT47:CT48"/>
    <mergeCell ref="CQ57:CQ58"/>
    <mergeCell ref="CR57:CR58"/>
    <mergeCell ref="CS57:CS58"/>
    <mergeCell ref="CT57:CT58"/>
    <mergeCell ref="CQ67:CQ68"/>
    <mergeCell ref="CR67:CR68"/>
    <mergeCell ref="CS67:CS68"/>
    <mergeCell ref="CT67:CT68"/>
    <mergeCell ref="CQ79:CQ80"/>
    <mergeCell ref="CR79:CR80"/>
    <mergeCell ref="CS79:CS80"/>
    <mergeCell ref="CT79:CT80"/>
    <mergeCell ref="CQ89:CQ90"/>
    <mergeCell ref="CR89:CR90"/>
    <mergeCell ref="CS89:CS90"/>
    <mergeCell ref="CT89:CT90"/>
    <mergeCell ref="CQ99:CQ100"/>
    <mergeCell ref="CR99:CR100"/>
    <mergeCell ref="CS99:CS100"/>
    <mergeCell ref="CT99:CT100"/>
    <mergeCell ref="CQ111:CQ112"/>
    <mergeCell ref="CR111:CR112"/>
    <mergeCell ref="CS111:CS112"/>
    <mergeCell ref="CT111:CT112"/>
    <mergeCell ref="CQ121:CQ122"/>
    <mergeCell ref="CR121:CR122"/>
    <mergeCell ref="CS121:CS122"/>
    <mergeCell ref="CT121:CT122"/>
    <mergeCell ref="CQ131:CQ132"/>
    <mergeCell ref="CR131:CR132"/>
    <mergeCell ref="CS131:CS132"/>
    <mergeCell ref="CT131:CT132"/>
    <mergeCell ref="CW39:CX39"/>
    <mergeCell ref="CV39:CV40"/>
    <mergeCell ref="CY39:CY40"/>
    <mergeCell ref="CZ39:DA39"/>
    <mergeCell ref="CV38:CX38"/>
    <mergeCell ref="DB7:DB8"/>
    <mergeCell ref="DC7:DC8"/>
    <mergeCell ref="DD7:DD8"/>
    <mergeCell ref="DE7:DE8"/>
    <mergeCell ref="CU27:DD27"/>
    <mergeCell ref="CU28:DD28"/>
    <mergeCell ref="CU29:DD29"/>
    <mergeCell ref="CU30:DD30"/>
    <mergeCell ref="CU32:DD32"/>
    <mergeCell ref="CU33:DD33"/>
    <mergeCell ref="CU35:DE35"/>
    <mergeCell ref="CU37:DD37"/>
    <mergeCell ref="DE37:DE40"/>
    <mergeCell ref="CU38:CU40"/>
    <mergeCell ref="CY38:DA38"/>
    <mergeCell ref="DB38:DD39"/>
    <mergeCell ref="DC40:DD40"/>
    <mergeCell ref="DC41:DD41"/>
    <mergeCell ref="DB47:DB48"/>
    <mergeCell ref="DC47:DC48"/>
    <mergeCell ref="DD47:DD48"/>
    <mergeCell ref="DE47:DE48"/>
    <mergeCell ref="DB57:DB58"/>
    <mergeCell ref="DC57:DC58"/>
    <mergeCell ref="DD57:DD58"/>
    <mergeCell ref="DE57:DE58"/>
    <mergeCell ref="DB67:DB68"/>
    <mergeCell ref="DC67:DC68"/>
    <mergeCell ref="DD67:DD68"/>
    <mergeCell ref="DE67:DE68"/>
    <mergeCell ref="DB79:DB80"/>
    <mergeCell ref="DC79:DC80"/>
    <mergeCell ref="DD79:DD80"/>
    <mergeCell ref="DE79:DE80"/>
    <mergeCell ref="DB89:DB90"/>
    <mergeCell ref="DC89:DC90"/>
    <mergeCell ref="DD89:DD90"/>
    <mergeCell ref="DE89:DE90"/>
    <mergeCell ref="DB99:DB100"/>
    <mergeCell ref="DC99:DC100"/>
    <mergeCell ref="DD99:DD100"/>
    <mergeCell ref="DE99:DE100"/>
    <mergeCell ref="DB111:DB112"/>
    <mergeCell ref="DC111:DC112"/>
    <mergeCell ref="DD111:DD112"/>
    <mergeCell ref="DE111:DE112"/>
    <mergeCell ref="DB121:DB122"/>
    <mergeCell ref="DC121:DC122"/>
    <mergeCell ref="DD121:DD122"/>
    <mergeCell ref="DE121:DE122"/>
    <mergeCell ref="DB131:DB132"/>
    <mergeCell ref="DC131:DC132"/>
    <mergeCell ref="DD131:DD132"/>
    <mergeCell ref="DE131:DE132"/>
    <mergeCell ref="DH39:DI39"/>
    <mergeCell ref="DG39:DG40"/>
    <mergeCell ref="DJ39:DJ40"/>
    <mergeCell ref="DK39:DL39"/>
    <mergeCell ref="DG38:DI38"/>
    <mergeCell ref="DM7:DM8"/>
    <mergeCell ref="DN7:DN8"/>
    <mergeCell ref="DO7:DO8"/>
    <mergeCell ref="DP7:DP8"/>
    <mergeCell ref="DF27:DO27"/>
    <mergeCell ref="DF28:DO28"/>
    <mergeCell ref="DF29:DO29"/>
    <mergeCell ref="DF30:DO30"/>
    <mergeCell ref="DF32:DO32"/>
    <mergeCell ref="DF33:DO33"/>
    <mergeCell ref="DF35:DP35"/>
    <mergeCell ref="DF37:DO37"/>
    <mergeCell ref="DP37:DP40"/>
    <mergeCell ref="DF38:DF40"/>
    <mergeCell ref="DJ38:DL38"/>
    <mergeCell ref="DM38:DO39"/>
    <mergeCell ref="DN40:DO40"/>
    <mergeCell ref="DN41:DO41"/>
    <mergeCell ref="DM47:DM48"/>
    <mergeCell ref="DN47:DN48"/>
    <mergeCell ref="DO47:DO48"/>
    <mergeCell ref="DP47:DP48"/>
    <mergeCell ref="DM57:DM58"/>
    <mergeCell ref="DN57:DN58"/>
    <mergeCell ref="DO57:DO58"/>
    <mergeCell ref="DP57:DP58"/>
    <mergeCell ref="DM67:DM68"/>
    <mergeCell ref="DN67:DN68"/>
    <mergeCell ref="DO67:DO68"/>
    <mergeCell ref="DP67:DP68"/>
    <mergeCell ref="DM79:DM80"/>
    <mergeCell ref="DN79:DN80"/>
    <mergeCell ref="DO79:DO80"/>
    <mergeCell ref="DP79:DP80"/>
    <mergeCell ref="DM89:DM90"/>
    <mergeCell ref="DN89:DN90"/>
    <mergeCell ref="DO89:DO90"/>
    <mergeCell ref="DP89:DP90"/>
    <mergeCell ref="DM99:DM100"/>
    <mergeCell ref="DN99:DN100"/>
    <mergeCell ref="DO99:DO100"/>
    <mergeCell ref="DP99:DP100"/>
    <mergeCell ref="DM111:DM112"/>
    <mergeCell ref="DN111:DN112"/>
    <mergeCell ref="DO111:DO112"/>
    <mergeCell ref="DP111:DP112"/>
    <mergeCell ref="DM121:DM122"/>
    <mergeCell ref="DN121:DN122"/>
    <mergeCell ref="DO121:DO122"/>
    <mergeCell ref="DP121:DP122"/>
    <mergeCell ref="DM131:DM132"/>
    <mergeCell ref="DN131:DN132"/>
    <mergeCell ref="DO131:DO132"/>
    <mergeCell ref="DP131:DP132"/>
    <mergeCell ref="DS39:DT39"/>
    <mergeCell ref="DR39:DR40"/>
    <mergeCell ref="DU39:DU40"/>
    <mergeCell ref="DV39:DW39"/>
    <mergeCell ref="DR38:DT38"/>
    <mergeCell ref="DX7:DX8"/>
    <mergeCell ref="DY7:DY8"/>
    <mergeCell ref="DZ7:DZ8"/>
    <mergeCell ref="EA7:EA8"/>
    <mergeCell ref="DQ27:DZ27"/>
    <mergeCell ref="DQ28:DZ28"/>
    <mergeCell ref="DQ29:DZ29"/>
    <mergeCell ref="DQ30:DZ30"/>
    <mergeCell ref="DQ32:DZ32"/>
    <mergeCell ref="DQ33:DZ33"/>
    <mergeCell ref="DQ35:EA35"/>
    <mergeCell ref="DQ37:DZ37"/>
    <mergeCell ref="EA37:EA40"/>
    <mergeCell ref="DQ38:DQ40"/>
    <mergeCell ref="DU38:DW38"/>
    <mergeCell ref="DX38:DZ39"/>
    <mergeCell ref="DY40:DZ40"/>
    <mergeCell ref="DY41:DZ41"/>
    <mergeCell ref="DX47:DX48"/>
    <mergeCell ref="DY47:DY48"/>
    <mergeCell ref="DZ47:DZ48"/>
    <mergeCell ref="EA47:EA48"/>
    <mergeCell ref="DX57:DX58"/>
    <mergeCell ref="DY57:DY58"/>
    <mergeCell ref="DZ57:DZ58"/>
    <mergeCell ref="EA57:EA58"/>
    <mergeCell ref="DX67:DX68"/>
    <mergeCell ref="DY67:DY68"/>
    <mergeCell ref="DZ67:DZ68"/>
    <mergeCell ref="EA67:EA68"/>
    <mergeCell ref="DX79:DX80"/>
    <mergeCell ref="DY79:DY80"/>
    <mergeCell ref="DZ79:DZ80"/>
    <mergeCell ref="EA79:EA80"/>
    <mergeCell ref="DX89:DX90"/>
    <mergeCell ref="DY89:DY90"/>
    <mergeCell ref="DZ89:DZ90"/>
    <mergeCell ref="EA89:EA90"/>
    <mergeCell ref="DX99:DX100"/>
    <mergeCell ref="DY99:DY100"/>
    <mergeCell ref="DZ99:DZ100"/>
    <mergeCell ref="EA99:EA100"/>
    <mergeCell ref="DX111:DX112"/>
    <mergeCell ref="DY111:DY112"/>
    <mergeCell ref="DZ111:DZ112"/>
    <mergeCell ref="EA111:EA112"/>
    <mergeCell ref="DX121:DX122"/>
    <mergeCell ref="DY121:DY122"/>
    <mergeCell ref="DZ121:DZ122"/>
    <mergeCell ref="EA121:EA122"/>
    <mergeCell ref="DX131:DX132"/>
    <mergeCell ref="DY131:DY132"/>
    <mergeCell ref="DZ131:DZ132"/>
    <mergeCell ref="EA131:EA132"/>
    <mergeCell ref="ED39:EE39"/>
    <mergeCell ref="EC39:EC40"/>
    <mergeCell ref="EF39:EF40"/>
    <mergeCell ref="EG39:EH39"/>
    <mergeCell ref="EC38:EE38"/>
    <mergeCell ref="EI7:EI8"/>
    <mergeCell ref="EJ7:EJ8"/>
    <mergeCell ref="EK7:EK8"/>
    <mergeCell ref="EL7:EL8"/>
    <mergeCell ref="EB27:EK27"/>
    <mergeCell ref="EB28:EK28"/>
    <mergeCell ref="EB29:EK29"/>
    <mergeCell ref="EB30:EK30"/>
    <mergeCell ref="EB32:EK32"/>
    <mergeCell ref="EB33:EK33"/>
    <mergeCell ref="EB35:EL35"/>
    <mergeCell ref="EB37:EK37"/>
    <mergeCell ref="EL37:EL40"/>
    <mergeCell ref="EB38:EB40"/>
    <mergeCell ref="EF38:EH38"/>
    <mergeCell ref="EI38:EK39"/>
    <mergeCell ref="EJ40:EK40"/>
    <mergeCell ref="EJ41:EK41"/>
    <mergeCell ref="EI47:EI48"/>
    <mergeCell ref="EJ47:EJ48"/>
    <mergeCell ref="EK47:EK48"/>
    <mergeCell ref="EL47:EL48"/>
    <mergeCell ref="EI57:EI58"/>
    <mergeCell ref="EJ57:EJ58"/>
    <mergeCell ref="EK57:EK58"/>
    <mergeCell ref="EL57:EL58"/>
    <mergeCell ref="EI67:EI68"/>
    <mergeCell ref="EJ67:EJ68"/>
    <mergeCell ref="EK67:EK68"/>
    <mergeCell ref="EL67:EL68"/>
    <mergeCell ref="EI79:EI80"/>
    <mergeCell ref="EJ79:EJ80"/>
    <mergeCell ref="EK79:EK80"/>
    <mergeCell ref="EL79:EL80"/>
    <mergeCell ref="EI89:EI90"/>
    <mergeCell ref="EJ89:EJ90"/>
    <mergeCell ref="EK89:EK90"/>
    <mergeCell ref="EL89:EL90"/>
    <mergeCell ref="EI99:EI100"/>
    <mergeCell ref="EJ99:EJ100"/>
    <mergeCell ref="EK99:EK100"/>
    <mergeCell ref="EL99:EL100"/>
    <mergeCell ref="EI111:EI112"/>
    <mergeCell ref="EJ111:EJ112"/>
    <mergeCell ref="EK111:EK112"/>
    <mergeCell ref="EL111:EL112"/>
    <mergeCell ref="EI121:EI122"/>
    <mergeCell ref="EJ121:EJ122"/>
    <mergeCell ref="EK121:EK122"/>
    <mergeCell ref="EL121:EL122"/>
    <mergeCell ref="EI131:EI132"/>
    <mergeCell ref="EJ131:EJ132"/>
    <mergeCell ref="EK131:EK132"/>
    <mergeCell ref="EL131:EL132"/>
    <mergeCell ref="EO39:EP39"/>
    <mergeCell ref="EN39:EN40"/>
    <mergeCell ref="EQ39:EQ40"/>
    <mergeCell ref="ER39:ES39"/>
    <mergeCell ref="EN38:EP38"/>
    <mergeCell ref="ET7:ET8"/>
    <mergeCell ref="EU7:EU8"/>
    <mergeCell ref="EV7:EV8"/>
    <mergeCell ref="EW7:EW8"/>
    <mergeCell ref="EM27:EV27"/>
    <mergeCell ref="EM28:EV28"/>
    <mergeCell ref="EM29:EV29"/>
    <mergeCell ref="EM30:EV30"/>
    <mergeCell ref="EM32:EV32"/>
    <mergeCell ref="EM33:EV33"/>
    <mergeCell ref="EM35:EW35"/>
    <mergeCell ref="EM37:EV37"/>
    <mergeCell ref="EW37:EW40"/>
    <mergeCell ref="EM38:EM40"/>
    <mergeCell ref="EQ38:ES38"/>
    <mergeCell ref="ET38:EV39"/>
    <mergeCell ref="EU40:EV40"/>
    <mergeCell ref="EU41:EV41"/>
    <mergeCell ref="ET47:ET48"/>
    <mergeCell ref="EU47:EU48"/>
    <mergeCell ref="EV47:EV48"/>
    <mergeCell ref="EW47:EW48"/>
    <mergeCell ref="ET57:ET58"/>
    <mergeCell ref="EU57:EU58"/>
    <mergeCell ref="EV57:EV58"/>
    <mergeCell ref="EW57:EW58"/>
    <mergeCell ref="ET67:ET68"/>
    <mergeCell ref="EU67:EU68"/>
    <mergeCell ref="EV67:EV68"/>
    <mergeCell ref="EW67:EW68"/>
    <mergeCell ref="ET79:ET80"/>
    <mergeCell ref="EU79:EU80"/>
    <mergeCell ref="EV79:EV80"/>
    <mergeCell ref="EW79:EW80"/>
    <mergeCell ref="ET89:ET90"/>
    <mergeCell ref="EU89:EU90"/>
    <mergeCell ref="EV89:EV90"/>
    <mergeCell ref="EW89:EW90"/>
    <mergeCell ref="ET99:ET100"/>
    <mergeCell ref="EU99:EU100"/>
    <mergeCell ref="EV99:EV100"/>
    <mergeCell ref="EW99:EW100"/>
    <mergeCell ref="ET111:ET112"/>
    <mergeCell ref="EU111:EU112"/>
    <mergeCell ref="EV111:EV112"/>
    <mergeCell ref="EW111:EW112"/>
    <mergeCell ref="ET121:ET122"/>
    <mergeCell ref="EU121:EU122"/>
    <mergeCell ref="EV121:EV122"/>
    <mergeCell ref="EW121:EW122"/>
    <mergeCell ref="ET131:ET132"/>
    <mergeCell ref="EU131:EU132"/>
    <mergeCell ref="EV131:EV132"/>
    <mergeCell ref="EW131:EW132"/>
  </mergeCells>
  <dataValidations count="7">
    <dataValidation allowBlank="1" showInputMessage="1" showErrorMessage="1" prompt="Для выбора выполните двойной щелчок левой клавиши мыши по соответствующей ячейке." sqref="AD65663 AD131199 AD196735 AD262271 AD327807 AD393343 AD458879 AD524415 AD589951 AD655487 AD721023 AD786559 AD852095 AD917631 AD983167 AF131199 AF458879 AF196735 AF262271 AF327807 AF393343 AF524415 AF589951 AF655487 AF721023 AF786559 AF852095 AF917631 AF983167 AF65663 AO65663 AO131199 AO196735 AO262271 AO327807 AO393343 AO458879 AO524415 AO589951 AO655487 AO721023 AO786559 AO852095 AO917631 AO983167 AQ524415:EW524415 AQ196735:EW196735 AQ589951:EW589951 AQ655487:EW655487 AQ15 AQ721023:EW721023 AQ786559:EW786559 AQ852095:EW852095 AQ917631:EW917631 AQ983167:EW983167 AQ65663:EW65663 AQ131199:EW131199 AQ458879:EW458879 AQ262271:EW262271 AQ7 AZ7 BB7 BK7 BM7 BV7 BX7 CG7 CI7 CR7 CT7 DC7 DE7 DN7 DP7 DY7 EA7 EJ7 EL7 EU7 EW7 AO47 AQ327807:EW327807 AO15 AO7 AD7 AF7 AQ393343:EW393343 AQ47 AZ47 BB47 BK47 BM47 BV47 BX47 CG47 CI47 CR47 CT47 DC47 DE47 DN47 DP47 DY47 EA47 EJ47 EL47 EU47 EW47 AD47 AF47 AD79 AF79 AO79 AQ79 AZ79 BB79 BK79 BM79 BV79 BX79 CG79 CI79 CR79 CT79 DC79 DE79 DN79 DP79 DY79 EA79 EJ79 EL79 EU79 EW79 AD111 AF111 AO111 AQ111 AZ111 BB111 BK111 BM111 BV111 BX111 CG111 CI111 CR111 CT111 DC111 DE111 DN111 DP111 DY111 EA111 EJ111 EL111 EU111 EW111 AD57 AF57 AO57 AQ57 AZ57 BB57 BK57 BM57 BV57 BX57 CG57 CI57 CR57 CT57 DC57 DE57 DN57 DP57 DY57 EA57 EJ57 EL57 EU57 EW57 AD67 AF67 AO67 AQ67 AZ67 BB67 BK67 BM67 BV67 BX67 CG67 CI67 CR67 CT67 DC67 DE67 DN67 DP67 DY67 EA67 EJ67 EL67 EU67 EW67 AD89 AF89 AO89 AQ89 AZ89 BB89 BK89 BM89 BV89 BX89 CG89 CI89 CR89 CT89 DC89 DE89 DN89 DP89 DY89 EA89 EJ89 EL89 EU89 EW89 AD99 AF99 AO99 AQ99 AZ99 BB99 BK99 BM99 BV99 BX99 CG99 CI99 CR99 CT99 DC99 DE99 DN99 DP99 DY99 EA99 EJ99 EL99 EU99 EW99 AD121 AF121 AO121 AQ121 AZ121 BB121 BK121 BM121 BV121 BX121 CG121 CI121 CR121 CT121 DC121 DE121 DN121 DP121 DY121 EA121 EJ121 EL121 EU121 EW121 AD131 AF131 AO131 AQ131 AZ131 BB131 BK131 BM131 BV131 BX131 CG131 CI131 CR131 CT131 DC131 DE131 DN131 DP131 DY131 EA131 EJ131 EL131 EU131 EW13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663 AC131199 AC196735 AC262271 AC327807 AC393343 AC458879 AC524415 AC589951 AC655487 AC721023 AC786559 AC852095 AC917631 AC983167 AE65663 AE131199 AE196735 AE262271 AE327807 AE393343 AE458879 AE524415 AE589951 AE655487 AE721023 AE786559 AE852095 AE917631 AE983167 AN15 AN65663 AN131199 AN196735 AN262271 AN327807 AN393343 AN458879 AN524415 AN589951 AN655487 AN721023 AN786559 AN852095 AN917631 AN983167 AP65663 AP131199 AP196735 AP262271 AP327807 AP393343 AP458879 AP524415 AP589951 AP655487 AP721023 AP786559 AP852095 AP917631 AP983167 AP47 AN47 AP15 AP7 AN7 AC7 AE7 AC47 AE47 AC79 AE79 AN79 AP79 AC111 AE111 AN111 AP111 AC57 AE57 AN57 AP57 AC67 AE67 AN67 AP67 AC89 AE89 AN89 AP89 AC99 AE99 AN99 AP99 AC121 AE121 AN121 AP121 AC131 AE131 AN131 AP131 AY7 BA7 AY47 BA47 AY57 BA57 AY67 BA67 AY79 BA79 AY89 BA89 AY99 BA99 AY111 BA111 AY121 BA121 AY131 BA131 BJ7 BL7 BJ47 BL47 BJ57 BL57 BJ67 BL67 BJ79 BL79 BJ89 BL89 BJ99 BL99 BJ111 BL111 BJ121 BL121 BJ131 BL131 BU7 BW7 BU47 BW47 BU57 BW57 BU67 BW67 BU79 BW79 BU89 BW89 BU99 BW99 BU111 BW111 BU121 BW121 BU131 BW131 CF7 CH7 CF47 CH47 CF57 CH57 CF67 CH67 CF79 CH79 CF89 CH89 CF99 CH99 CF111 CH111 CF121 CH121 CF131 CH131 CQ7 CS7 CQ47 CS47 CQ57 CS57 CQ67 CS67 CQ79 CS79 CQ89 CS89 CQ99 CS99 CQ111 CS111 CQ121 CS121 CQ131 CS131 DB7 DD7 DB47 DD47 DB57 DD57 DB67 DD67 DB79 DD79 DB89 DD89 DB99 DD99 DB111 DD111 DB121 DD121 DB131 DD131 DM7 DO7 DM47 DO47 DM57 DO57 DM67 DO67 DM79 DO79 DM89 DO89 DM99 DO99 DM111 DO111 DM121 DO121 DM131 DO131 DX7 DZ7 DX47 DZ47 DX57 DZ57 DX67 DZ67 DX79 DZ79 DX89 DZ89 DX99 DZ99 DX111 DZ111 DX121 DZ121 DX131 DZ131 EI7 EK7 EI47 EK47 EI57 EK57 EI67 EK67 EI79 EK79 EI89 EK89 EI99 EK99 EI111 EK111 EI121 EK121 EI131 EK131 ET7 EV7 ET47 EV47 ET57 EV57 ET67 EV67 ET79 EV79 ET89 EV89 ET99 EV99 ET111 EV111 ET121 EV121 ET131 EV131"/>
    <dataValidation type="list" allowBlank="1" showInputMessage="1" showErrorMessage="1" errorTitle="Ошибка" error="Выберите значение из списка" sqref="T65663 T131199 T196735 T262271 T327807 T393343 T458879 T524415 T589951 T655487 T721023 T786559 T852095 T917631 T983167">
      <formula1>kind_of_heat_transfer</formula1>
    </dataValidation>
    <dataValidation type="textLength" operator="lessThanOrEqual" allowBlank="1" showInputMessage="1" showErrorMessage="1" errorTitle="Ошибка" error="Допускается ввод не более 900 символов!" sqref="EY65657:EY65664 EY131193:EY131200 EY196729:EY196736 EY262265:EY262272 EY327801:EY327808 EY393337:EY393344 EY458873:EY458880 EY524409:EY524416 EY589945:EY589952 EY655481:EY655488 EY721017:EY721024 EY786553:EY786560 EY852089:EY852096 EY917625:EY917632 EY983161:EY983168 T47 T7 AG45:AQ45 EX45 AG5:AQ5 EX5 AG77 AH77 AI77 AJ77 AK77 AL77 AM77 AN77 AO77 AP77 AQ77 EX77 T79 AG109 AH109 AI109 AJ109 AK109 AL109 AM109 AN109 AO109 AP109 AQ109 EX109 T111 AG55 AH55 AI55 AJ55 AK55 AL55 AM55 AN55 AO55 AP55 AQ55 EX55 T57 AG65 AH65 AI65 AJ65 AK65 AL65 AM65 AN65 AO65 AP65 AQ65 EX65 T67 AG87 AH87 AI87 AJ87 AK87 AL87 AM87 AN87 AO87 AP87 AQ87 EX87 T89 AG97 AH97 AI97 AJ97 AK97 AL97 AM97 AN97 AO97 AP97 AQ97 EX97 T99 AG119 AH119 AI119 AJ119 AK119 AL119 AM119 AN119 AO119 AP119 AQ119 EX119 T121 AG129 AH129 AI129 AJ129 AK129 AL129 AM129 AN129 AO129 AP129 AQ129 EX129 T131">
      <formula1>900</formula1>
    </dataValidation>
    <dataValidation type="list" allowBlank="1" showInputMessage="1" showErrorMessage="1" errorTitle="Ошибка" error="Выберите значение из списка" sqref="AG917629:AL917629 AG852093:AL852093 AG786557:AL786557 AG721021:AL721021 AG655485:AL655485 AG589949:AL589949 AG524413:AL524413 AG458877:AL458877 AG393341:AL393341 AG327805:AL327805 AG262269:AL262269 AG196733:AL196733 AG131197:AL131197 AG65661:AL65661 AG983165:AL983165 V983165:AB983165 V65661:AB65661 V131197:AB131197 V196733:AB196733 V262269:AB262269 V327805:AB327805 V393341:AB393341 V458877:AB458877 V524413:AB524413 V589949:AB589949 V655485:AB655485 V721021:AB721021 V786557:AB786557 V852093:AB852093 V917629:AB917629">
      <formula1>kind_of_scheme_in</formula1>
    </dataValidation>
    <dataValidation type="list" allowBlank="1" showInputMessage="1" errorTitle="Ошибка" error="Выберите значение из списка" prompt="Выберите значение из списка" sqref="V983166:EX983166 V65662:EX65662 V131198:EX131198 V196734:EX196734 V262270:EX262270 V327806:EX327806 V393342:EX393342 V458878:EX458878 V524414:EX524414 V589950:EX589950 V655486:EX655486 V721022:EX721022 V786558:EX786558 V852094:EX852094 V917630:EX917630">
      <formula1>kind_of_cons</formula1>
    </dataValidation>
    <dataValidation allowBlank="1" sqref="S131201:EY131207 S196737:EY196743 S262273:EY262279 S327809:EY327815 S393345:EY393351 S458881:EY458887 S524417:EY524423 S589953:EY589959 S655489:EY655495 S721025:EY721031 S786561:EY786567 S852097:EY852103 S917633:EY917639 S983169:EY983175 S65665:EY6567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3EB61D-B422-CAD9-E5FF-CC0633FD15A9}" mc:Ignorable="x14ac xr xr2 xr3">
  <sheetPr>
    <tabColor theme="6" tint="0.4"/>
  </sheetPr>
  <dimension ref="A1:AX58"/>
  <sheetViews>
    <sheetView topLeftCell="A1" showGridLines="0" zoomScale="90" workbookViewId="0">
      <selection activeCell="A1" sqref="A1"/>
    </sheetView>
  </sheetViews>
  <sheetFormatPr defaultColWidth="10.57421875" customHeight="1" defaultRowHeight="14.25"/>
  <cols>
    <col min="1" max="1" style="32217" width="10.57421875" hidden="1"/>
    <col min="2" max="2" style="32217" width="11.00390625" hidden="1" customWidth="1"/>
    <col min="3" max="3" style="32217" width="10.57421875" hidden="1"/>
    <col min="4" max="4" style="32217" width="11.8515625" hidden="1" customWidth="1"/>
    <col min="5" max="5" style="32217" width="10.00390625" hidden="1" customWidth="1"/>
    <col min="6" max="6" style="32217" width="8.7109375" hidden="1" customWidth="1"/>
    <col min="7" max="7" style="32217" width="7.57421875" hidden="1" customWidth="1"/>
    <col min="8" max="8" style="32217" width="11.421875" hidden="1" customWidth="1"/>
    <col min="9" max="9" style="32217" width="14.140625" hidden="1" customWidth="1"/>
    <col min="10" max="10" style="32217" width="9.8515625" hidden="1" customWidth="1"/>
    <col min="11" max="11" style="32217" width="14.7109375" hidden="1" customWidth="1"/>
    <col min="12" max="12" style="32566" width="19.140625" hidden="1" customWidth="1"/>
    <col min="13" max="14" style="32298" width="12.28125" hidden="1" customWidth="1"/>
    <col min="15" max="15" style="32298" width="23.421875" hidden="1" customWidth="1"/>
    <col min="16" max="16" style="32567" width="3.7109375" customWidth="1"/>
    <col min="17" max="18" style="32300" width="3.7109375" customWidth="1"/>
    <col min="19" max="19" style="32301" width="12.7109375" customWidth="1"/>
    <col min="20" max="20" style="32302" width="35.7109375" customWidth="1"/>
    <col min="21" max="21" style="32302" width="0.140625" customWidth="1"/>
    <col min="22" max="22" style="32302" width="19.7109375" hidden="1" customWidth="1"/>
    <col min="23" max="27" style="32343" width="19.7109375" hidden="1" customWidth="1"/>
    <col min="28" max="28" style="32302" width="19.7109375" hidden="1" customWidth="1"/>
    <col min="29" max="29" style="32302" width="11.7109375" hidden="1" customWidth="1"/>
    <col min="30" max="30" style="32302" width="3.7109375" hidden="1" customWidth="1"/>
    <col min="31" max="31" style="32302" width="11.7109375" hidden="1" customWidth="1"/>
    <col min="32" max="32" style="32302" width="8.57421875" hidden="1" customWidth="1"/>
    <col min="33" max="33" style="32302" width="19.7109375" customWidth="1"/>
    <col min="34" max="38" style="32343" width="19.7109375" customWidth="1"/>
    <col min="39" max="39" style="32302" width="19.7109375" customWidth="1"/>
    <col min="40" max="40" style="32302" width="11.7109375" customWidth="1"/>
    <col min="41" max="41" style="32302" width="3.7109375" customWidth="1"/>
    <col min="42" max="42" style="32302" width="11.7109375" customWidth="1"/>
    <col min="43" max="43" style="32302" width="8.57421875" hidden="1" customWidth="1"/>
    <col min="44" max="44" style="32302" width="4.7109375" customWidth="1"/>
    <col min="45" max="45" style="32302" width="115.7109375" customWidth="1"/>
    <col min="46" max="47" style="32289" width="10.57421875"/>
    <col min="48" max="48" style="32289" width="11.140625" customWidth="1"/>
    <col min="49" max="50" style="32289" width="10.57421875"/>
  </cols>
  <sheetData>
    <row customHeight="1" ht="14.25" hidden="1">
      <c r="AB1" s="688"/>
      <c r="AC1" s="688"/>
      <c r="AM1" s="688"/>
      <c r="AN1" s="688"/>
    </row>
    <row customHeight="1" ht="23.25" hidden="1">
      <c r="A2" s="1729"/>
      <c r="B2" s="1729"/>
      <c r="C2" s="1729"/>
      <c r="D2" s="1729"/>
      <c r="E2" s="2527">
        <v>1</v>
      </c>
      <c r="F2" s="1729"/>
      <c r="G2" s="1729"/>
      <c r="H2" s="1729"/>
      <c r="I2" s="1729"/>
      <c r="J2" s="1729"/>
      <c r="K2" s="1729"/>
      <c r="L2" s="1730"/>
      <c r="M2" s="1731"/>
      <c r="N2" s="1731"/>
      <c r="O2" s="1731"/>
      <c r="P2" s="722"/>
      <c r="Q2" s="721"/>
      <c r="R2" s="716"/>
      <c r="S2" s="1859">
        <f>INDEX(PT_DIFFERENTIATION_NUM_NTAR,MATCH(A2,PT_DIFFERENTIATION_NTAR_ID,0))</f>
      </c>
      <c r="T2" s="659" t="s">
        <v>131</v>
      </c>
      <c r="U2" s="661"/>
      <c r="V2" s="2521"/>
      <c r="W2" s="2522"/>
      <c r="X2" s="2522"/>
      <c r="Y2" s="2522"/>
      <c r="Z2" s="2522"/>
      <c r="AA2" s="2522"/>
      <c r="AB2" s="2522"/>
      <c r="AC2" s="2522"/>
      <c r="AD2" s="2522"/>
      <c r="AE2" s="2522"/>
      <c r="AF2" s="2523"/>
      <c r="AG2" s="2521">
        <f>INDEX(PT_DIFFERENTIATION_NTAR,MATCH(A2,PT_DIFFERENTIATION_NTAR_ID,0))</f>
      </c>
      <c r="AH2" s="2522"/>
      <c r="AI2" s="2522"/>
      <c r="AJ2" s="2522"/>
      <c r="AK2" s="2522"/>
      <c r="AL2" s="2522"/>
      <c r="AM2" s="2522"/>
      <c r="AN2" s="2522"/>
      <c r="AO2" s="2522"/>
      <c r="AP2" s="2522"/>
      <c r="AQ2" s="2522"/>
      <c r="AR2" s="2523"/>
      <c r="AS2"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861"/>
      <c r="AV2" s="861" t="str">
        <f>IF(T2="","",T2)</f>
        <v>Наименование тарифа</v>
      </c>
      <c r="AW2" s="861"/>
      <c r="AX2" s="861"/>
    </row>
    <row customHeight="1" ht="23.25" hidden="1">
      <c r="A3" s="1729"/>
      <c r="B3" s="1729"/>
      <c r="C3" s="1729"/>
      <c r="D3" s="1729"/>
      <c r="E3" s="2528"/>
      <c r="F3" s="2527">
        <v>1</v>
      </c>
      <c r="G3" s="1729"/>
      <c r="H3" s="1729"/>
      <c r="I3" s="1729"/>
      <c r="J3" s="1729"/>
      <c r="K3" s="1729"/>
      <c r="L3" s="1730"/>
      <c r="M3" s="1731"/>
      <c r="N3" s="1731"/>
      <c r="O3" s="1731"/>
      <c r="P3" s="1853"/>
      <c r="Q3" s="713"/>
      <c r="R3" s="714"/>
      <c r="S3" s="1859">
        <f>INDEX(PT_DIFFERENTIATION_NUM_TER,MATCH(B3,PT_DIFFERENTIATION_TER_ID,0))</f>
      </c>
      <c r="T3" s="669" t="s">
        <v>438</v>
      </c>
      <c r="U3" s="661"/>
      <c r="V3" s="2521"/>
      <c r="W3" s="2522"/>
      <c r="X3" s="2522"/>
      <c r="Y3" s="2522"/>
      <c r="Z3" s="2522"/>
      <c r="AA3" s="2522"/>
      <c r="AB3" s="2522"/>
      <c r="AC3" s="2522"/>
      <c r="AD3" s="2522"/>
      <c r="AE3" s="2522"/>
      <c r="AF3" s="2523"/>
      <c r="AG3" s="2521">
        <f>INDEX(PT_DIFFERENTIATION_TER,MATCH(B3,PT_DIFFERENTIATION_TER_ID,0))</f>
      </c>
      <c r="AH3" s="2522"/>
      <c r="AI3" s="2522"/>
      <c r="AJ3" s="2522"/>
      <c r="AK3" s="2522"/>
      <c r="AL3" s="2522"/>
      <c r="AM3" s="2522"/>
      <c r="AN3" s="2522"/>
      <c r="AO3" s="2522"/>
      <c r="AP3" s="2522"/>
      <c r="AQ3" s="2522"/>
      <c r="AR3" s="2523"/>
      <c r="AS3" s="1623" t="s">
        <v>439</v>
      </c>
      <c r="AU3" s="861"/>
      <c r="AV3" s="861" t="str">
        <f>IF(T3="","",T3)</f>
        <v>Территория действия тарифа</v>
      </c>
      <c r="AW3" s="861"/>
      <c r="AX3" s="861"/>
    </row>
    <row customHeight="1" ht="23.25" hidden="1">
      <c r="A4" s="1729"/>
      <c r="B4" s="1729"/>
      <c r="C4" s="1729"/>
      <c r="D4" s="1729"/>
      <c r="E4" s="2528"/>
      <c r="F4" s="2528"/>
      <c r="G4" s="2527">
        <v>1</v>
      </c>
      <c r="H4" s="1729"/>
      <c r="I4" s="1729"/>
      <c r="J4" s="1729"/>
      <c r="K4" s="1729"/>
      <c r="L4" s="1730"/>
      <c r="M4" s="1731"/>
      <c r="N4" s="1731"/>
      <c r="O4" s="1731"/>
      <c r="P4" s="715"/>
      <c r="Q4" s="713"/>
      <c r="R4" s="714"/>
      <c r="S4" s="1859">
        <f>INDEX(PT_DIFFERENTIATION_NUM_CS,MATCH(C4,PT_DIFFERENTIATION_CS_ID,0))</f>
      </c>
      <c r="T4" s="670" t="s">
        <v>569</v>
      </c>
      <c r="U4" s="661"/>
      <c r="V4" s="2521"/>
      <c r="W4" s="2522"/>
      <c r="X4" s="2522"/>
      <c r="Y4" s="2522"/>
      <c r="Z4" s="2522"/>
      <c r="AA4" s="2522"/>
      <c r="AB4" s="2522"/>
      <c r="AC4" s="2522"/>
      <c r="AD4" s="2522"/>
      <c r="AE4" s="2522"/>
      <c r="AF4" s="2523"/>
      <c r="AG4" s="2521">
        <f>INDEX(PT_DIFFERENTIATION_CS,MATCH(C4,PT_DIFFERENTIATION_CS_ID,0))</f>
      </c>
      <c r="AH4" s="2522"/>
      <c r="AI4" s="2522"/>
      <c r="AJ4" s="2522"/>
      <c r="AK4" s="2522"/>
      <c r="AL4" s="2522"/>
      <c r="AM4" s="2522"/>
      <c r="AN4" s="2522"/>
      <c r="AO4" s="2522"/>
      <c r="AP4" s="2522"/>
      <c r="AQ4" s="2522"/>
      <c r="AR4" s="2523"/>
      <c r="AS4" s="1623" t="s">
        <v>570</v>
      </c>
      <c r="AU4" s="861"/>
      <c r="AV4" s="861" t="str">
        <f>IF(T4="","",T4)</f>
        <v>Наименование централизованной системы горячего водоснабжения</v>
      </c>
      <c r="AW4" s="861"/>
      <c r="AX4" s="861"/>
    </row>
    <row customHeight="1" ht="23.25" hidden="1">
      <c r="A5" s="1729"/>
      <c r="B5" s="1729"/>
      <c r="C5" s="1729"/>
      <c r="D5" s="1729"/>
      <c r="E5" s="2528"/>
      <c r="F5" s="2528"/>
      <c r="G5" s="2528"/>
      <c r="H5" s="2528"/>
      <c r="I5" s="2529">
        <f>S4&amp;".1"</f>
      </c>
      <c r="J5" s="1729"/>
      <c r="K5" s="1729"/>
      <c r="L5" s="1730"/>
      <c r="P5" s="2531">
        <v>1</v>
      </c>
      <c r="Q5" s="1847"/>
      <c r="R5" s="717"/>
      <c r="S5" s="1859">
        <f>$I5</f>
      </c>
      <c r="T5" s="646" t="s">
        <v>522</v>
      </c>
      <c r="U5" s="661"/>
      <c r="V5" s="2614"/>
      <c r="W5" s="2615"/>
      <c r="X5" s="2615"/>
      <c r="Y5" s="2615"/>
      <c r="Z5" s="2615"/>
      <c r="AA5" s="2615"/>
      <c r="AB5" s="2615"/>
      <c r="AC5" s="2615"/>
      <c r="AD5" s="2615"/>
      <c r="AE5" s="2615"/>
      <c r="AF5" s="2616"/>
      <c r="AG5" s="2617"/>
      <c r="AH5" s="2618"/>
      <c r="AI5" s="2618"/>
      <c r="AJ5" s="2618"/>
      <c r="AK5" s="2618"/>
      <c r="AL5" s="2618"/>
      <c r="AM5" s="2618"/>
      <c r="AN5" s="2618"/>
      <c r="AO5" s="2618"/>
      <c r="AP5" s="2618"/>
      <c r="AQ5" s="2618"/>
      <c r="AR5" s="2619"/>
      <c r="AS5" s="1623" t="s">
        <v>523</v>
      </c>
      <c r="AU5" s="861"/>
      <c r="AV5" s="861" t="str">
        <f>IF(T5="","",T5)</f>
        <v>Наименование признака дифференциации</v>
      </c>
      <c r="AW5" s="861"/>
      <c r="AX5" s="861"/>
    </row>
    <row customHeight="1" ht="23.25" hidden="1">
      <c r="A6" s="1729"/>
      <c r="B6" s="1729"/>
      <c r="C6" s="1729"/>
      <c r="D6" s="1729"/>
      <c r="E6" s="2528"/>
      <c r="F6" s="2528"/>
      <c r="G6" s="2528"/>
      <c r="H6" s="2528"/>
      <c r="I6" s="2530"/>
      <c r="J6" s="2529">
        <f>I5&amp;".1"</f>
      </c>
      <c r="K6" s="1729"/>
      <c r="L6" s="1730" t="s">
        <v>447</v>
      </c>
      <c r="P6" s="2531"/>
      <c r="Q6" s="2531">
        <v>1</v>
      </c>
      <c r="R6" s="718"/>
      <c r="S6" s="1859">
        <f>$J6</f>
      </c>
      <c r="T6" s="647" t="s">
        <v>448</v>
      </c>
      <c r="U6" s="661"/>
      <c r="V6" s="2515"/>
      <c r="W6" s="2516"/>
      <c r="X6" s="2516"/>
      <c r="Y6" s="2516"/>
      <c r="Z6" s="2516"/>
      <c r="AA6" s="2516"/>
      <c r="AB6" s="2516"/>
      <c r="AC6" s="2516"/>
      <c r="AD6" s="2516"/>
      <c r="AE6" s="2516"/>
      <c r="AF6" s="2517"/>
      <c r="AG6" s="2515"/>
      <c r="AH6" s="2516"/>
      <c r="AI6" s="2516"/>
      <c r="AJ6" s="2516"/>
      <c r="AK6" s="2516"/>
      <c r="AL6" s="2516"/>
      <c r="AM6" s="2516"/>
      <c r="AN6" s="2516"/>
      <c r="AO6" s="2516"/>
      <c r="AP6" s="2516"/>
      <c r="AQ6" s="2516"/>
      <c r="AR6" s="2517"/>
      <c r="AS6" s="1673" t="s">
        <v>524</v>
      </c>
      <c r="AU6" s="861"/>
      <c r="AV6" s="861" t="str">
        <f>IF(T6="","",T6)</f>
        <v>Группа потребителей</v>
      </c>
      <c r="AW6" s="861"/>
      <c r="AX6" s="861"/>
    </row>
    <row customHeight="1" ht="23.25" hidden="1">
      <c r="A7" s="1729"/>
      <c r="B7" s="1729"/>
      <c r="C7" s="1729"/>
      <c r="D7" s="1729"/>
      <c r="E7" s="2528"/>
      <c r="F7" s="2528"/>
      <c r="G7" s="2528"/>
      <c r="H7" s="2528"/>
      <c r="I7" s="2530"/>
      <c r="J7" s="2530"/>
      <c r="K7" s="2529">
        <f>J6&amp;".1"</f>
      </c>
      <c r="L7" s="1730"/>
      <c r="P7" s="2531"/>
      <c r="Q7" s="2531"/>
      <c r="R7" s="718">
        <v>1</v>
      </c>
      <c r="S7" s="1859">
        <f>$K7</f>
      </c>
      <c r="T7" s="1803"/>
      <c r="U7" s="661"/>
      <c r="V7" s="1112"/>
      <c r="W7" s="1112"/>
      <c r="X7" s="1112"/>
      <c r="Y7" s="1112"/>
      <c r="Z7" s="1112"/>
      <c r="AA7" s="1112"/>
      <c r="AB7" s="1622"/>
      <c r="AC7" s="2532"/>
      <c r="AD7" s="2402" t="s">
        <v>66</v>
      </c>
      <c r="AE7" s="2532"/>
      <c r="AF7" s="2402" t="s">
        <v>66</v>
      </c>
      <c r="AG7" s="1112"/>
      <c r="AH7" s="1112"/>
      <c r="AI7" s="1112"/>
      <c r="AJ7" s="1112"/>
      <c r="AK7" s="1112"/>
      <c r="AL7" s="1112"/>
      <c r="AM7" s="1622"/>
      <c r="AN7" s="2532"/>
      <c r="AO7" s="2402" t="s">
        <v>66</v>
      </c>
      <c r="AP7" s="2534"/>
      <c r="AQ7" s="2402" t="s">
        <v>66</v>
      </c>
      <c r="AR7" s="1804"/>
      <c r="AS7" s="26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872">
        <f>STRCHECKDATE(V8:AR8)</f>
      </c>
      <c r="AU7" s="861"/>
      <c r="AV7" s="861" t="str">
        <f>IF(T7="","",T7)</f>
        <v/>
      </c>
      <c r="AW7" s="861"/>
      <c r="AX7" s="861"/>
    </row>
    <row customHeight="1" ht="14.25" hidden="1">
      <c r="A8" s="1729"/>
      <c r="B8" s="1729"/>
      <c r="C8" s="1729"/>
      <c r="D8" s="1729"/>
      <c r="E8" s="2528"/>
      <c r="F8" s="2528"/>
      <c r="G8" s="2528"/>
      <c r="H8" s="2528"/>
      <c r="I8" s="2530"/>
      <c r="J8" s="2530"/>
      <c r="K8" s="2529"/>
      <c r="L8" s="1730"/>
      <c r="P8" s="2531"/>
      <c r="Q8" s="2531"/>
      <c r="R8" s="718"/>
      <c r="S8" s="1856"/>
      <c r="T8" s="661"/>
      <c r="U8" s="661"/>
      <c r="V8" s="686"/>
      <c r="W8" s="686"/>
      <c r="X8" s="686"/>
      <c r="Y8" s="686"/>
      <c r="Z8" s="686"/>
      <c r="AA8" s="686"/>
      <c r="AB8" s="689" t="str">
        <f>AC7&amp;"-"&amp;AE7</f>
        <v>-</v>
      </c>
      <c r="AC8" s="2533"/>
      <c r="AD8" s="2402"/>
      <c r="AE8" s="2533"/>
      <c r="AF8" s="2402"/>
      <c r="AG8" s="686"/>
      <c r="AH8" s="686"/>
      <c r="AI8" s="686"/>
      <c r="AJ8" s="686"/>
      <c r="AK8" s="686"/>
      <c r="AL8" s="686"/>
      <c r="AM8" s="689" t="str">
        <f>AN7&amp;"-"&amp;AP7</f>
        <v>-</v>
      </c>
      <c r="AN8" s="2533"/>
      <c r="AO8" s="2402"/>
      <c r="AP8" s="2535"/>
      <c r="AQ8" s="2402"/>
      <c r="AR8" s="1805"/>
      <c r="AS8" s="2620"/>
      <c r="AU8" s="861"/>
      <c r="AV8" s="861" t="str">
        <f>IF(T8="","",T8)</f>
        <v/>
      </c>
      <c r="AW8" s="861"/>
      <c r="AX8" s="861"/>
    </row>
    <row customHeight="1" ht="21" hidden="1">
      <c r="A9" s="1729"/>
      <c r="B9" s="1729"/>
      <c r="C9" s="1729"/>
      <c r="D9" s="1729"/>
      <c r="E9" s="2528"/>
      <c r="F9" s="2528"/>
      <c r="G9" s="2528"/>
      <c r="H9" s="2528"/>
      <c r="I9" s="2530"/>
      <c r="J9" s="2529"/>
      <c r="K9" s="1729"/>
      <c r="L9" s="1730"/>
      <c r="P9" s="2531"/>
      <c r="Q9" s="2531"/>
      <c r="R9" s="717"/>
      <c r="S9" s="1644"/>
      <c r="T9" s="648" t="s">
        <v>525</v>
      </c>
      <c r="U9" s="728"/>
      <c r="V9" s="728"/>
      <c r="W9" s="961"/>
      <c r="X9" s="961"/>
      <c r="Y9" s="961"/>
      <c r="Z9" s="961"/>
      <c r="AA9" s="961"/>
      <c r="AB9" s="728"/>
      <c r="AC9" s="728"/>
      <c r="AD9" s="728"/>
      <c r="AE9" s="728"/>
      <c r="AF9" s="728"/>
      <c r="AG9" s="728"/>
      <c r="AH9" s="961"/>
      <c r="AI9" s="961"/>
      <c r="AJ9" s="961"/>
      <c r="AK9" s="961"/>
      <c r="AL9" s="961"/>
      <c r="AM9" s="728"/>
      <c r="AN9" s="728"/>
      <c r="AO9" s="728"/>
      <c r="AP9" s="728"/>
      <c r="AQ9" s="728"/>
      <c r="AR9" s="728"/>
      <c r="AS9" s="1623" t="s">
        <v>526</v>
      </c>
      <c r="AU9" s="861"/>
      <c r="AV9" s="861" t="str">
        <f>IF(T9="","",T9)</f>
        <v>Добавить значение признака дифференциации</v>
      </c>
      <c r="AW9" s="861"/>
      <c r="AX9" s="861"/>
    </row>
    <row customHeight="1" ht="21" hidden="1">
      <c r="A10" s="1729"/>
      <c r="B10" s="1729"/>
      <c r="C10" s="1729"/>
      <c r="D10" s="1729"/>
      <c r="E10" s="2528"/>
      <c r="F10" s="2528"/>
      <c r="G10" s="2528"/>
      <c r="H10" s="2528"/>
      <c r="I10" s="2529"/>
      <c r="J10" s="1729"/>
      <c r="K10" s="1729"/>
      <c r="L10" s="1730"/>
      <c r="P10" s="2531"/>
      <c r="Q10" s="1847"/>
      <c r="R10" s="717"/>
      <c r="S10" s="1644"/>
      <c r="T10" s="726" t="s">
        <v>453</v>
      </c>
      <c r="U10" s="728"/>
      <c r="V10" s="728"/>
      <c r="W10" s="961"/>
      <c r="X10" s="961"/>
      <c r="Y10" s="961"/>
      <c r="Z10" s="961"/>
      <c r="AA10" s="961"/>
      <c r="AB10" s="728"/>
      <c r="AC10" s="728"/>
      <c r="AD10" s="728"/>
      <c r="AE10" s="728"/>
      <c r="AF10" s="727"/>
      <c r="AG10" s="728"/>
      <c r="AH10" s="961"/>
      <c r="AI10" s="961"/>
      <c r="AJ10" s="961"/>
      <c r="AK10" s="961"/>
      <c r="AL10" s="961"/>
      <c r="AM10" s="728"/>
      <c r="AN10" s="728"/>
      <c r="AO10" s="728"/>
      <c r="AP10" s="728"/>
      <c r="AQ10" s="727"/>
      <c r="AR10" s="728"/>
      <c r="AS10" s="1806"/>
      <c r="AU10" s="861"/>
      <c r="AV10" s="861" t="str">
        <f>IF(T10="","",T10)</f>
        <v>Добавить группу потребителей</v>
      </c>
      <c r="AW10" s="861"/>
      <c r="AX10" s="861"/>
    </row>
    <row customHeight="1" ht="21" hidden="1">
      <c r="A11" s="1729"/>
      <c r="B11" s="1729"/>
      <c r="C11" s="1729"/>
      <c r="D11" s="1729"/>
      <c r="E11" s="2528"/>
      <c r="F11" s="2528"/>
      <c r="G11" s="2528"/>
      <c r="H11" s="2527"/>
      <c r="I11" s="1729"/>
      <c r="J11" s="1729"/>
      <c r="K11" s="1729"/>
      <c r="L11" s="1730"/>
      <c r="M11" s="1731"/>
      <c r="N11" s="1731"/>
      <c r="O11" s="898"/>
      <c r="P11" s="721"/>
      <c r="Q11" s="736"/>
      <c r="R11" s="716"/>
      <c r="S11" s="1644"/>
      <c r="T11" s="733" t="s">
        <v>527</v>
      </c>
      <c r="U11" s="728"/>
      <c r="V11" s="728"/>
      <c r="W11" s="961"/>
      <c r="X11" s="961"/>
      <c r="Y11" s="961"/>
      <c r="Z11" s="961"/>
      <c r="AA11" s="961"/>
      <c r="AB11" s="728"/>
      <c r="AC11" s="728"/>
      <c r="AD11" s="728"/>
      <c r="AE11" s="728"/>
      <c r="AF11" s="727"/>
      <c r="AG11" s="728"/>
      <c r="AH11" s="961"/>
      <c r="AI11" s="961"/>
      <c r="AJ11" s="961"/>
      <c r="AK11" s="961"/>
      <c r="AL11" s="961"/>
      <c r="AM11" s="728"/>
      <c r="AN11" s="728"/>
      <c r="AO11" s="728"/>
      <c r="AP11" s="728"/>
      <c r="AQ11" s="727"/>
      <c r="AR11" s="728"/>
      <c r="AS11" s="664"/>
      <c r="AU11" s="861"/>
      <c r="AV11" s="861" t="str">
        <f>IF(T11="","",T11)</f>
        <v>Добавить наименование признака дифференциации</v>
      </c>
      <c r="AW11" s="861"/>
      <c r="AX11" s="861"/>
    </row>
    <row s="32198" customFormat="1" customHeight="1" ht="14.25" hidden="1">
      <c r="A12" s="1709"/>
      <c r="B12" s="1709"/>
      <c r="C12" s="1680"/>
      <c r="D12" s="1680"/>
      <c r="E12" s="2528"/>
      <c r="F12" s="2527"/>
      <c r="G12" s="1680"/>
      <c r="H12" s="1680"/>
      <c r="I12" s="1680"/>
      <c r="J12" s="1680"/>
      <c r="K12" s="1680"/>
      <c r="L12" s="1860"/>
      <c r="M12" s="1687"/>
      <c r="N12" s="1687"/>
      <c r="P12" s="1682"/>
      <c r="Q12" s="1683"/>
      <c r="R12" s="1682"/>
      <c r="S12" s="1688"/>
      <c r="T12" s="1691" t="s">
        <v>262</v>
      </c>
      <c r="U12" s="1690"/>
      <c r="V12" s="1690"/>
      <c r="W12" s="1690"/>
      <c r="X12" s="1690"/>
      <c r="Y12" s="1690"/>
      <c r="Z12" s="1690"/>
      <c r="AA12" s="1690"/>
      <c r="AB12" s="1690"/>
      <c r="AC12" s="1690"/>
      <c r="AD12" s="1690"/>
      <c r="AE12" s="1690"/>
      <c r="AF12" s="1690"/>
      <c r="AG12" s="1690"/>
      <c r="AH12" s="1690"/>
      <c r="AI12" s="1690"/>
      <c r="AJ12" s="1690"/>
      <c r="AK12" s="1690"/>
      <c r="AL12" s="1690"/>
      <c r="AM12" s="1690"/>
      <c r="AN12" s="1690"/>
      <c r="AO12" s="1690"/>
      <c r="AP12" s="1690"/>
      <c r="AQ12" s="1690"/>
      <c r="AR12" s="1690"/>
      <c r="AS12" s="1690"/>
      <c r="AU12" s="1150"/>
      <c r="AV12" s="1150" t="str">
        <f>IF(T12="","",T12)</f>
        <v>Добавить централизованную систему для дифференциации</v>
      </c>
      <c r="AW12" s="1150"/>
      <c r="AX12" s="1150"/>
    </row>
    <row s="32289" customFormat="1" customHeight="1" ht="14.25" hidden="1">
      <c r="A13" s="1709"/>
      <c r="B13" s="1709"/>
      <c r="C13" s="1709"/>
      <c r="D13" s="1709"/>
      <c r="E13" s="2527"/>
      <c r="F13" s="1709"/>
      <c r="G13" s="1709"/>
      <c r="H13" s="1709"/>
      <c r="I13" s="1709"/>
      <c r="J13" s="1709"/>
      <c r="K13" s="1709"/>
      <c r="L13" s="1712"/>
      <c r="M13" s="1687"/>
      <c r="N13" s="1687"/>
      <c r="O13" s="879"/>
      <c r="P13" s="741"/>
      <c r="Q13" s="1710"/>
      <c r="R13" s="741"/>
      <c r="S13" s="1688"/>
      <c r="T13" s="1691" t="s">
        <v>270</v>
      </c>
      <c r="U13" s="1690"/>
      <c r="V13" s="1690"/>
      <c r="W13" s="1690"/>
      <c r="X13" s="1690"/>
      <c r="Y13" s="1690"/>
      <c r="Z13" s="1690"/>
      <c r="AA13" s="1690"/>
      <c r="AB13" s="1690"/>
      <c r="AC13" s="1690"/>
      <c r="AD13" s="1690"/>
      <c r="AE13" s="1690"/>
      <c r="AF13" s="1690"/>
      <c r="AG13" s="1690"/>
      <c r="AH13" s="1690"/>
      <c r="AI13" s="1690"/>
      <c r="AJ13" s="1690"/>
      <c r="AK13" s="1690"/>
      <c r="AL13" s="1690"/>
      <c r="AM13" s="1690"/>
      <c r="AN13" s="1690"/>
      <c r="AO13" s="1690"/>
      <c r="AP13" s="1690"/>
      <c r="AQ13" s="1690"/>
      <c r="AR13" s="1690"/>
      <c r="AS13" s="1690"/>
      <c r="AU13" s="861"/>
      <c r="AV13" s="861" t="str">
        <f>IF(T13="","",T13)</f>
        <v>Добавить территорию для дифференциации</v>
      </c>
      <c r="AW13" s="861"/>
      <c r="AX13" s="861"/>
    </row>
    <row customHeight="1" ht="14.25" hidden="1">
      <c r="AF14" s="688"/>
      <c r="AQ14" s="688"/>
    </row>
    <row customHeight="1" ht="14.25" hidden="1">
      <c r="AG15" s="1726"/>
      <c r="AH15" s="1726"/>
      <c r="AI15" s="1726"/>
      <c r="AJ15" s="1726"/>
      <c r="AK15" s="1726"/>
      <c r="AL15" s="1726"/>
      <c r="AM15" s="1727"/>
      <c r="AN15" s="2525"/>
      <c r="AO15" s="2524" t="s">
        <v>66</v>
      </c>
      <c r="AP15" s="2525"/>
      <c r="AQ15" s="2524" t="s">
        <v>66</v>
      </c>
    </row>
    <row customHeight="1" ht="14.25" hidden="1">
      <c r="AG16" s="1726"/>
      <c r="AH16" s="1726"/>
      <c r="AI16" s="1726"/>
      <c r="AJ16" s="1726"/>
      <c r="AK16" s="1726"/>
      <c r="AL16" s="1726"/>
      <c r="AM16" s="689" t="str">
        <f>AN15&amp;"-"&amp;AP15</f>
        <v>-</v>
      </c>
      <c r="AN16" s="2524"/>
      <c r="AO16" s="2524"/>
      <c r="AP16" s="2524"/>
      <c r="AQ16" s="2524"/>
    </row>
    <row customHeight="1" ht="14.25" hidden="1">
      <c r="AQ17" s="688"/>
    </row>
    <row s="32217" customFormat="1" customHeight="1" ht="22.5" hidden="1">
      <c r="L18" s="1844"/>
      <c r="M18" s="1728"/>
      <c r="N18" s="1728"/>
      <c r="O18" s="1733" t="s">
        <v>456</v>
      </c>
      <c r="P18" s="1728"/>
      <c r="Q18" s="1737"/>
      <c r="R18" s="1737"/>
      <c r="S18" s="1090"/>
      <c r="W18" s="1732"/>
      <c r="X18" s="1732"/>
      <c r="Y18" s="1732"/>
      <c r="Z18" s="1732"/>
      <c r="AA18" s="1732"/>
      <c r="AC18" s="1733"/>
      <c r="AE18" s="1733"/>
      <c r="AF18" s="1732"/>
      <c r="AH18" s="1732"/>
      <c r="AI18" s="1732"/>
      <c r="AJ18" s="1732"/>
      <c r="AK18" s="1732"/>
      <c r="AL18" s="1732"/>
      <c r="AN18" s="1733"/>
      <c r="AP18" s="1733"/>
      <c r="AQ18" s="1732"/>
      <c r="AT18" s="872"/>
      <c r="AU18" s="872"/>
      <c r="AV18" s="872"/>
      <c r="AW18" s="872"/>
      <c r="AX18" s="872"/>
    </row>
    <row s="32217" customFormat="1" customHeight="1" ht="14.25" hidden="1">
      <c r="L19" s="1844"/>
      <c r="M19" s="1728"/>
      <c r="N19" s="1728"/>
      <c r="O19" s="1728"/>
      <c r="P19" s="1728"/>
      <c r="Q19" s="1737"/>
      <c r="R19" s="1737"/>
      <c r="S19" s="1090"/>
      <c r="W19" s="1732"/>
      <c r="X19" s="1732"/>
      <c r="Y19" s="1732"/>
      <c r="Z19" s="1732"/>
      <c r="AA19" s="1732"/>
      <c r="AF19" s="1732"/>
      <c r="AH19" s="1732"/>
      <c r="AI19" s="1732"/>
      <c r="AJ19" s="1732"/>
      <c r="AK19" s="1732"/>
      <c r="AL19" s="1732"/>
      <c r="AQ19" s="1732"/>
      <c r="AT19" s="872"/>
      <c r="AU19" s="872"/>
      <c r="AV19" s="872"/>
      <c r="AW19" s="872"/>
      <c r="AX19" s="872"/>
    </row>
    <row s="32217" customFormat="1" customHeight="1" ht="12" hidden="1">
      <c r="L20" s="1844"/>
      <c r="M20" s="1728"/>
      <c r="N20" s="1728"/>
      <c r="O20" s="1730" t="s">
        <v>457</v>
      </c>
      <c r="P20" s="1728"/>
      <c r="Q20" s="1808"/>
      <c r="R20" s="1808"/>
      <c r="S20" s="1090"/>
      <c r="T20" s="1523" t="s">
        <v>458</v>
      </c>
      <c r="W20" s="1732"/>
      <c r="X20" s="1732"/>
      <c r="Y20" s="1732"/>
      <c r="Z20" s="1732"/>
      <c r="AA20" s="1732"/>
      <c r="AD20" s="547" t="s">
        <v>459</v>
      </c>
      <c r="AF20" s="547" t="s">
        <v>460</v>
      </c>
      <c r="AG20" s="1523" t="s">
        <v>458</v>
      </c>
      <c r="AH20" s="1732"/>
      <c r="AI20" s="1732"/>
      <c r="AJ20" s="1732"/>
      <c r="AK20" s="1732"/>
      <c r="AL20" s="1732"/>
      <c r="AO20" s="547" t="s">
        <v>461</v>
      </c>
      <c r="AQ20" s="547" t="s">
        <v>460</v>
      </c>
    </row>
    <row customHeight="1" ht="14.25" hidden="1">
      <c r="O21" s="1730"/>
    </row>
    <row customHeight="1" ht="14.25" hidden="1">
      <c r="O22" s="1730"/>
    </row>
    <row customHeight="1" ht="14.25">
      <c r="Q23" s="737"/>
      <c r="R23" s="737"/>
      <c r="S23" s="1641"/>
      <c r="T23" s="724"/>
      <c r="U23" s="724"/>
      <c r="V23" s="870"/>
      <c r="W23" s="2001"/>
      <c r="X23" s="2001"/>
      <c r="Y23" s="2001"/>
      <c r="Z23" s="2001"/>
      <c r="AA23" s="2001"/>
      <c r="AB23" s="870"/>
      <c r="AC23" s="870"/>
      <c r="AD23" s="870"/>
      <c r="AE23" s="870"/>
      <c r="AF23" s="870"/>
      <c r="AG23" s="870"/>
      <c r="AH23" s="2001"/>
      <c r="AI23" s="2001"/>
      <c r="AJ23" s="2001"/>
      <c r="AK23" s="2001"/>
      <c r="AL23" s="2001"/>
      <c r="AM23" s="870"/>
      <c r="AN23" s="870"/>
      <c r="AO23" s="870"/>
      <c r="AP23" s="870"/>
      <c r="AQ23" s="870"/>
    </row>
    <row customHeight="1" ht="24.75">
      <c r="Q24" s="737"/>
      <c r="R24" s="737"/>
      <c r="S24" s="256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560"/>
      <c r="U24" s="2560"/>
      <c r="V24" s="2560"/>
      <c r="W24" s="2560"/>
      <c r="X24" s="2560"/>
      <c r="Y24" s="2560"/>
      <c r="Z24" s="2560"/>
      <c r="AA24" s="2560"/>
      <c r="AB24" s="2560"/>
      <c r="AC24" s="2560"/>
      <c r="AD24" s="2560"/>
      <c r="AE24" s="2560"/>
      <c r="AF24" s="2560"/>
      <c r="AG24" s="2560"/>
      <c r="AH24" s="2560"/>
      <c r="AI24" s="2560"/>
      <c r="AJ24" s="2560"/>
      <c r="AK24" s="2560"/>
      <c r="AL24" s="2560"/>
      <c r="AM24" s="2560"/>
      <c r="AN24" s="2560"/>
      <c r="AO24" s="2560"/>
      <c r="AP24" s="2560"/>
      <c r="AQ24" s="1608"/>
    </row>
    <row customHeight="1" ht="14.25">
      <c r="Q25" s="737"/>
      <c r="R25" s="737"/>
      <c r="S25" s="2561" t="str">
        <f>IF(org=0,"Не определено",org)</f>
        <v>АО "Мурманэнергосбыт"</v>
      </c>
      <c r="T25" s="2561"/>
      <c r="U25" s="2561"/>
      <c r="V25" s="2561"/>
      <c r="W25" s="2561"/>
      <c r="X25" s="2561"/>
      <c r="Y25" s="2561"/>
      <c r="Z25" s="2561"/>
      <c r="AA25" s="2561"/>
      <c r="AB25" s="2561"/>
      <c r="AC25" s="2561"/>
      <c r="AD25" s="2561"/>
      <c r="AE25" s="2561"/>
      <c r="AF25" s="2561"/>
      <c r="AG25" s="2561"/>
      <c r="AH25" s="2561"/>
      <c r="AI25" s="2561"/>
      <c r="AJ25" s="2561"/>
      <c r="AK25" s="2561"/>
      <c r="AL25" s="2561"/>
      <c r="AM25" s="2561"/>
      <c r="AN25" s="2561"/>
      <c r="AO25" s="2561"/>
      <c r="AP25" s="2561"/>
      <c r="AQ25" s="1608"/>
    </row>
    <row customHeight="1" ht="14.25">
      <c r="Q26" s="737"/>
      <c r="R26" s="737"/>
      <c r="S26" s="1641"/>
      <c r="T26" s="724"/>
      <c r="U26" s="724"/>
      <c r="V26" s="683"/>
      <c r="W26" s="683"/>
      <c r="X26" s="683"/>
      <c r="Y26" s="683"/>
      <c r="Z26" s="683"/>
      <c r="AA26" s="683"/>
      <c r="AB26" s="683"/>
      <c r="AC26" s="683"/>
      <c r="AD26" s="683"/>
      <c r="AE26" s="683"/>
      <c r="AF26" s="683"/>
      <c r="AG26" s="683"/>
      <c r="AH26" s="683"/>
      <c r="AI26" s="683"/>
      <c r="AJ26" s="683"/>
      <c r="AK26" s="683"/>
      <c r="AL26" s="683"/>
      <c r="AM26" s="683"/>
      <c r="AN26" s="683"/>
      <c r="AO26" s="683"/>
      <c r="AP26" s="683"/>
      <c r="AQ26" s="683"/>
      <c r="AR26" s="870"/>
    </row>
    <row s="32230" customFormat="1" customHeight="1" ht="25.5">
      <c r="A27" s="1734"/>
      <c r="B27" s="1734"/>
      <c r="C27" s="1734"/>
      <c r="D27" s="1734"/>
      <c r="E27" s="1734"/>
      <c r="F27" s="1734"/>
      <c r="G27" s="1734"/>
      <c r="H27" s="1734"/>
      <c r="I27" s="1734"/>
      <c r="J27" s="1734"/>
      <c r="K27" s="1734"/>
      <c r="L27" s="1735"/>
      <c r="M27" s="1734"/>
      <c r="N27" s="1734"/>
      <c r="O27" s="1734"/>
      <c r="S27" s="2518" t="s">
        <v>38</v>
      </c>
      <c r="T27" s="2518"/>
      <c r="U27" s="1738"/>
      <c r="V27" s="2520" t="str">
        <f>IF(TITLE_NAME_OR_PR_CHANGE="",IF(TITLE_NAME_OR_PR="","",TITLE_NAME_OR_PR),TITLE_NAME_OR_PR_CHANGE)</f>
        <v>Комитет по тарифному регулированию Мурманской области</v>
      </c>
      <c r="W27" s="2520"/>
      <c r="X27" s="2520"/>
      <c r="Y27" s="2520"/>
      <c r="Z27" s="2520"/>
      <c r="AA27" s="2520"/>
      <c r="AB27" s="2520"/>
      <c r="AC27" s="2520"/>
      <c r="AD27" s="2520"/>
      <c r="AE27" s="2520"/>
      <c r="AF27" s="687"/>
      <c r="AG27" s="2520" t="str">
        <f>IF(TITLE_NAME_OR_PR_CHANGE="",IF(TITLE_NAME_OR_PR="","",TITLE_NAME_OR_PR),TITLE_NAME_OR_PR_CHANGE)</f>
        <v>Комитет по тарифному регулированию Мурманской области</v>
      </c>
      <c r="AH27" s="2520"/>
      <c r="AI27" s="2520"/>
      <c r="AJ27" s="2520"/>
      <c r="AK27" s="2520"/>
      <c r="AL27" s="2520"/>
      <c r="AM27" s="2520"/>
      <c r="AN27" s="2520"/>
      <c r="AO27" s="2520"/>
      <c r="AP27" s="2520"/>
      <c r="AQ27" s="687"/>
      <c r="AR27" s="687"/>
      <c r="AS27" s="641"/>
      <c r="AT27" s="729"/>
      <c r="AU27" s="729"/>
      <c r="AV27" s="729"/>
      <c r="AW27" s="729"/>
      <c r="AX27" s="729"/>
    </row>
    <row s="32230" customFormat="1" customHeight="1" ht="18.75">
      <c r="A28" s="1734"/>
      <c r="B28" s="1734"/>
      <c r="C28" s="1734"/>
      <c r="D28" s="1734"/>
      <c r="E28" s="1734"/>
      <c r="F28" s="1734"/>
      <c r="G28" s="1734"/>
      <c r="H28" s="1734"/>
      <c r="I28" s="1734"/>
      <c r="J28" s="1734"/>
      <c r="K28" s="1734"/>
      <c r="L28" s="1735"/>
      <c r="M28" s="1734"/>
      <c r="N28" s="1734"/>
      <c r="O28" s="1734"/>
      <c r="S28" s="2518" t="s">
        <v>462</v>
      </c>
      <c r="T28" s="2518"/>
      <c r="U28" s="1738"/>
      <c r="V28" s="2519" t="str">
        <f>IF(TITLE_DATE_PR_CHANGE="",IF(TITLE_DATE_PR="","",TITLE_DATE_PR),TITLE_DATE_PR_CHANGE)</f>
        <v>45280</v>
      </c>
      <c r="W28" s="2519"/>
      <c r="X28" s="2519"/>
      <c r="Y28" s="2519"/>
      <c r="Z28" s="2519"/>
      <c r="AA28" s="2519"/>
      <c r="AB28" s="2519"/>
      <c r="AC28" s="2519"/>
      <c r="AD28" s="2519"/>
      <c r="AE28" s="2519"/>
      <c r="AF28" s="687"/>
      <c r="AG28" s="2519" t="str">
        <f>IF(TITLE_DATE_PR_CHANGE="",IF(TITLE_DATE_PR="","",TITLE_DATE_PR),TITLE_DATE_PR_CHANGE)</f>
        <v>45280</v>
      </c>
      <c r="AH28" s="2519"/>
      <c r="AI28" s="2519"/>
      <c r="AJ28" s="2519"/>
      <c r="AK28" s="2519"/>
      <c r="AL28" s="2519"/>
      <c r="AM28" s="2519"/>
      <c r="AN28" s="2519"/>
      <c r="AO28" s="2519"/>
      <c r="AP28" s="2519"/>
      <c r="AQ28" s="687"/>
      <c r="AR28" s="687"/>
      <c r="AS28" s="641"/>
      <c r="AT28" s="729"/>
      <c r="AU28" s="729"/>
      <c r="AV28" s="729"/>
      <c r="AW28" s="729"/>
      <c r="AX28" s="729"/>
    </row>
    <row s="32230" customFormat="1" customHeight="1" ht="18.75">
      <c r="A29" s="1734"/>
      <c r="B29" s="1734"/>
      <c r="C29" s="1734"/>
      <c r="D29" s="1734"/>
      <c r="E29" s="1734"/>
      <c r="F29" s="1734"/>
      <c r="G29" s="1734"/>
      <c r="H29" s="1734"/>
      <c r="I29" s="1734"/>
      <c r="J29" s="1734"/>
      <c r="K29" s="1734"/>
      <c r="L29" s="1735"/>
      <c r="M29" s="1734"/>
      <c r="N29" s="1734"/>
      <c r="O29" s="1734"/>
      <c r="S29" s="2518" t="s">
        <v>463</v>
      </c>
      <c r="T29" s="2518"/>
      <c r="U29" s="1738"/>
      <c r="V29" s="2520" t="str">
        <f>IF(TITLE_NUMBER_PR_CHANGE="",IF(TITLE_NUMBER_PR="","",TITLE_NUMBER_PR),TITLE_NUMBER_PR_CHANGE)</f>
        <v>51/16</v>
      </c>
      <c r="W29" s="2520"/>
      <c r="X29" s="2520"/>
      <c r="Y29" s="2520"/>
      <c r="Z29" s="2520"/>
      <c r="AA29" s="2520"/>
      <c r="AB29" s="2520"/>
      <c r="AC29" s="2520"/>
      <c r="AD29" s="2520"/>
      <c r="AE29" s="2520"/>
      <c r="AF29" s="687"/>
      <c r="AG29" s="2520" t="str">
        <f>IF(TITLE_NUMBER_PR_CHANGE="",IF(TITLE_NUMBER_PR="","",TITLE_NUMBER_PR),TITLE_NUMBER_PR_CHANGE)</f>
        <v>51/16</v>
      </c>
      <c r="AH29" s="2520"/>
      <c r="AI29" s="2520"/>
      <c r="AJ29" s="2520"/>
      <c r="AK29" s="2520"/>
      <c r="AL29" s="2520"/>
      <c r="AM29" s="2520"/>
      <c r="AN29" s="2520"/>
      <c r="AO29" s="2520"/>
      <c r="AP29" s="2520"/>
      <c r="AQ29" s="687"/>
      <c r="AR29" s="687"/>
      <c r="AS29" s="641"/>
      <c r="AT29" s="729"/>
      <c r="AU29" s="729"/>
      <c r="AV29" s="729"/>
      <c r="AW29" s="729"/>
      <c r="AX29" s="729"/>
    </row>
    <row s="32230" customFormat="1" customHeight="1" ht="18.75">
      <c r="A30" s="1734"/>
      <c r="B30" s="1734"/>
      <c r="C30" s="1734"/>
      <c r="D30" s="1734"/>
      <c r="E30" s="1734"/>
      <c r="F30" s="1734"/>
      <c r="G30" s="1734"/>
      <c r="H30" s="1734"/>
      <c r="I30" s="1734"/>
      <c r="J30" s="1734"/>
      <c r="K30" s="1734"/>
      <c r="L30" s="1735"/>
      <c r="M30" s="1734"/>
      <c r="N30" s="1734"/>
      <c r="O30" s="1734"/>
      <c r="S30" s="2518" t="s">
        <v>40</v>
      </c>
      <c r="T30" s="2518"/>
      <c r="U30" s="1738"/>
      <c r="V30" s="2520" t="str">
        <f>IF(TITLE_IST_PUB_CHANGE="",IF(TITLE_IST_PUB="","",TITLE_IST_PUB),TITLE_IST_PUB_CHANGE)</f>
        <v>https://npa.gov-murman.ru/bitrix/components/b1team/govmurman.element.file/download.php?ID=508455&amp;FID=750728</v>
      </c>
      <c r="W30" s="2520"/>
      <c r="X30" s="2520"/>
      <c r="Y30" s="2520"/>
      <c r="Z30" s="2520"/>
      <c r="AA30" s="2520"/>
      <c r="AB30" s="2520"/>
      <c r="AC30" s="2520"/>
      <c r="AD30" s="2520"/>
      <c r="AE30" s="2520"/>
      <c r="AF30" s="687"/>
      <c r="AG30" s="2520" t="str">
        <f>IF(TITLE_IST_PUB_CHANGE="",IF(TITLE_IST_PUB="","",TITLE_IST_PUB),TITLE_IST_PUB_CHANGE)</f>
        <v>https://npa.gov-murman.ru/bitrix/components/b1team/govmurman.element.file/download.php?ID=508455&amp;FID=750728</v>
      </c>
      <c r="AH30" s="2520"/>
      <c r="AI30" s="2520"/>
      <c r="AJ30" s="2520"/>
      <c r="AK30" s="2520"/>
      <c r="AL30" s="2520"/>
      <c r="AM30" s="2520"/>
      <c r="AN30" s="2520"/>
      <c r="AO30" s="2520"/>
      <c r="AP30" s="2520"/>
      <c r="AQ30" s="687"/>
      <c r="AR30" s="687"/>
      <c r="AS30" s="641"/>
      <c r="AT30" s="729"/>
      <c r="AU30" s="729"/>
      <c r="AV30" s="729"/>
      <c r="AW30" s="729"/>
      <c r="AX30" s="729"/>
    </row>
    <row customHeight="1" ht="14.25" hidden="1">
      <c r="Q31" s="737"/>
      <c r="R31" s="737"/>
      <c r="S31" s="1641"/>
      <c r="T31" s="724"/>
      <c r="U31" s="724"/>
      <c r="V31" s="683"/>
      <c r="W31" s="683"/>
      <c r="X31" s="683"/>
      <c r="Y31" s="683"/>
      <c r="Z31" s="683"/>
      <c r="AA31" s="683"/>
      <c r="AB31" s="683"/>
      <c r="AC31" s="683"/>
      <c r="AD31" s="683"/>
      <c r="AE31" s="683"/>
      <c r="AF31" s="683"/>
      <c r="AG31" s="683"/>
      <c r="AH31" s="683"/>
      <c r="AI31" s="683"/>
      <c r="AJ31" s="683"/>
      <c r="AK31" s="683"/>
      <c r="AL31" s="683"/>
      <c r="AM31" s="683"/>
      <c r="AN31" s="683"/>
      <c r="AO31" s="683"/>
      <c r="AP31" s="683"/>
      <c r="AQ31" s="683"/>
      <c r="AR31" s="870"/>
    </row>
    <row s="32230" customFormat="1" customHeight="1" ht="18.75" hidden="1">
      <c r="A32" s="1734"/>
      <c r="B32" s="1734"/>
      <c r="C32" s="1734"/>
      <c r="D32" s="1734"/>
      <c r="E32" s="1734"/>
      <c r="F32" s="1734"/>
      <c r="G32" s="1734"/>
      <c r="H32" s="1734"/>
      <c r="I32" s="1734"/>
      <c r="J32" s="1734"/>
      <c r="K32" s="1734"/>
      <c r="L32" s="1735"/>
      <c r="M32" s="1734"/>
      <c r="N32" s="1734"/>
      <c r="O32" s="1734"/>
      <c r="S32" s="2518" t="s">
        <v>464</v>
      </c>
      <c r="T32" s="2518"/>
      <c r="U32" s="1738"/>
      <c r="V32" s="2519" t="str">
        <f>IF(TITLE_DATE_PR_CHANGE="",IF(TITLE_DATE_PR="","",TITLE_DATE_PR),TITLE_DATE_PR_CHANGE)</f>
        <v>45280</v>
      </c>
      <c r="W32" s="2519"/>
      <c r="X32" s="2519"/>
      <c r="Y32" s="2519"/>
      <c r="Z32" s="2519"/>
      <c r="AA32" s="2519"/>
      <c r="AB32" s="2519"/>
      <c r="AC32" s="2519"/>
      <c r="AD32" s="2519"/>
      <c r="AE32" s="2519"/>
      <c r="AF32" s="687"/>
      <c r="AG32" s="2519" t="str">
        <f>IF(TITLE_DATE_PR_CHANGE="",IF(TITLE_DATE_PR="","",TITLE_DATE_PR),TITLE_DATE_PR_CHANGE)</f>
        <v>45280</v>
      </c>
      <c r="AH32" s="2519"/>
      <c r="AI32" s="2519"/>
      <c r="AJ32" s="2519"/>
      <c r="AK32" s="2519"/>
      <c r="AL32" s="2519"/>
      <c r="AM32" s="2519"/>
      <c r="AN32" s="2519"/>
      <c r="AO32" s="2519"/>
      <c r="AP32" s="2519"/>
      <c r="AQ32" s="687"/>
      <c r="AR32" s="687"/>
      <c r="AS32" s="641"/>
      <c r="AT32" s="729"/>
      <c r="AU32" s="729"/>
      <c r="AV32" s="729"/>
      <c r="AW32" s="729"/>
      <c r="AX32" s="729"/>
    </row>
    <row s="32230" customFormat="1" customHeight="1" ht="18.75" hidden="1">
      <c r="A33" s="1734"/>
      <c r="B33" s="1734"/>
      <c r="C33" s="1734"/>
      <c r="D33" s="1734"/>
      <c r="E33" s="1734"/>
      <c r="F33" s="1734"/>
      <c r="G33" s="1734"/>
      <c r="H33" s="1734"/>
      <c r="I33" s="1734"/>
      <c r="J33" s="1734"/>
      <c r="K33" s="1734"/>
      <c r="L33" s="1735"/>
      <c r="M33" s="1734"/>
      <c r="N33" s="1734"/>
      <c r="O33" s="1734"/>
      <c r="S33" s="2518" t="s">
        <v>465</v>
      </c>
      <c r="T33" s="2518"/>
      <c r="U33" s="1738"/>
      <c r="V33" s="2520" t="str">
        <f>IF(TITLE_NUMBER_PR_CHANGE="",IF(TITLE_NUMBER_PR="","",TITLE_NUMBER_PR),TITLE_NUMBER_PR_CHANGE)</f>
        <v>51/16</v>
      </c>
      <c r="W33" s="2520"/>
      <c r="X33" s="2520"/>
      <c r="Y33" s="2520"/>
      <c r="Z33" s="2520"/>
      <c r="AA33" s="2520"/>
      <c r="AB33" s="2520"/>
      <c r="AC33" s="2520"/>
      <c r="AD33" s="2520"/>
      <c r="AE33" s="2520"/>
      <c r="AF33" s="687"/>
      <c r="AG33" s="2520" t="str">
        <f>IF(TITLE_NUMBER_PR_CHANGE="",IF(TITLE_NUMBER_PR="","",TITLE_NUMBER_PR),TITLE_NUMBER_PR_CHANGE)</f>
        <v>51/16</v>
      </c>
      <c r="AH33" s="2520"/>
      <c r="AI33" s="2520"/>
      <c r="AJ33" s="2520"/>
      <c r="AK33" s="2520"/>
      <c r="AL33" s="2520"/>
      <c r="AM33" s="2520"/>
      <c r="AN33" s="2520"/>
      <c r="AO33" s="2520"/>
      <c r="AP33" s="2520"/>
      <c r="AQ33" s="687"/>
      <c r="AR33" s="687"/>
      <c r="AS33" s="641"/>
      <c r="AT33" s="729"/>
      <c r="AU33" s="729"/>
      <c r="AV33" s="729"/>
      <c r="AW33" s="729"/>
      <c r="AX33" s="729"/>
    </row>
    <row s="32230" customFormat="1" customHeight="1" ht="0.75">
      <c r="A34" s="1734"/>
      <c r="B34" s="1734"/>
      <c r="C34" s="1734"/>
      <c r="D34" s="1734"/>
      <c r="E34" s="1734"/>
      <c r="F34" s="1734"/>
      <c r="G34" s="1734"/>
      <c r="H34" s="1734"/>
      <c r="I34" s="1734"/>
      <c r="J34" s="1734"/>
      <c r="K34" s="1734"/>
      <c r="L34" s="1735"/>
      <c r="M34" s="1734"/>
      <c r="N34" s="1734"/>
      <c r="O34" s="1734"/>
      <c r="S34" s="684"/>
      <c r="T34" s="684"/>
      <c r="U34" s="1854"/>
      <c r="V34" s="687"/>
      <c r="W34" s="2001"/>
      <c r="X34" s="2001"/>
      <c r="Y34" s="2001"/>
      <c r="Z34" s="2001"/>
      <c r="AA34" s="2001"/>
      <c r="AB34" s="687"/>
      <c r="AC34" s="687"/>
      <c r="AD34" s="687"/>
      <c r="AE34" s="687"/>
      <c r="AF34" s="639" t="s">
        <v>466</v>
      </c>
      <c r="AG34" s="687"/>
      <c r="AH34" s="2001"/>
      <c r="AI34" s="2001"/>
      <c r="AJ34" s="2001"/>
      <c r="AK34" s="2001"/>
      <c r="AL34" s="2001"/>
      <c r="AM34" s="687"/>
      <c r="AN34" s="687"/>
      <c r="AO34" s="687"/>
      <c r="AP34" s="687"/>
      <c r="AQ34" s="639" t="s">
        <v>466</v>
      </c>
      <c r="AT34" s="729"/>
      <c r="AU34" s="729"/>
      <c r="AV34" s="729"/>
      <c r="AW34" s="729"/>
      <c r="AX34" s="729"/>
    </row>
    <row customHeight="1" ht="14.25">
      <c r="Q35" s="737"/>
      <c r="R35" s="737"/>
      <c r="S35" s="1641"/>
      <c r="T35" s="724"/>
      <c r="U35" s="1609"/>
      <c r="V35" s="2544"/>
      <c r="W35" s="2544"/>
      <c r="X35" s="2544"/>
      <c r="Y35" s="2544"/>
      <c r="Z35" s="2544"/>
      <c r="AA35" s="2544"/>
      <c r="AB35" s="2544"/>
      <c r="AC35" s="2544"/>
      <c r="AD35" s="2544"/>
      <c r="AE35" s="2544"/>
      <c r="AF35" s="2544"/>
      <c r="AG35" s="2544"/>
      <c r="AH35" s="2544"/>
      <c r="AI35" s="2544"/>
      <c r="AJ35" s="2544"/>
      <c r="AK35" s="2544"/>
      <c r="AL35" s="2544"/>
      <c r="AM35" s="2544"/>
      <c r="AN35" s="2544"/>
      <c r="AO35" s="2544"/>
      <c r="AP35" s="2544"/>
      <c r="AQ35" s="2544"/>
    </row>
    <row customHeight="1" ht="14.25">
      <c r="Q36" s="737"/>
      <c r="R36" s="737"/>
      <c r="S36" s="2392" t="s">
        <v>341</v>
      </c>
      <c r="T36" s="2392"/>
      <c r="U36" s="2392"/>
      <c r="V36" s="2392"/>
      <c r="W36" s="2392"/>
      <c r="X36" s="2392"/>
      <c r="Y36" s="2392"/>
      <c r="Z36" s="2392"/>
      <c r="AA36" s="2392"/>
      <c r="AB36" s="2392"/>
      <c r="AC36" s="2392"/>
      <c r="AD36" s="2392"/>
      <c r="AE36" s="2392"/>
      <c r="AF36" s="2392"/>
      <c r="AG36" s="2392"/>
      <c r="AH36" s="2392"/>
      <c r="AI36" s="2392"/>
      <c r="AJ36" s="2392"/>
      <c r="AK36" s="2392"/>
      <c r="AL36" s="2392"/>
      <c r="AM36" s="2392"/>
      <c r="AN36" s="2392"/>
      <c r="AO36" s="2392"/>
      <c r="AP36" s="2392"/>
      <c r="AQ36" s="2392"/>
      <c r="AR36" s="2392"/>
      <c r="AS36" s="2392" t="s">
        <v>342</v>
      </c>
    </row>
    <row customHeight="1" ht="14.25">
      <c r="Q37" s="737"/>
      <c r="R37" s="737"/>
      <c r="S37" s="2545" t="s">
        <v>87</v>
      </c>
      <c r="T37" s="2482" t="s">
        <v>467</v>
      </c>
      <c r="U37" s="662"/>
      <c r="V37" s="2546" t="s">
        <v>468</v>
      </c>
      <c r="W37" s="2547"/>
      <c r="X37" s="2547"/>
      <c r="Y37" s="2547"/>
      <c r="Z37" s="2547"/>
      <c r="AA37" s="2547"/>
      <c r="AB37" s="2547"/>
      <c r="AC37" s="2547"/>
      <c r="AD37" s="2547"/>
      <c r="AE37" s="2548"/>
      <c r="AF37" s="2549" t="s">
        <v>469</v>
      </c>
      <c r="AG37" s="2546" t="s">
        <v>468</v>
      </c>
      <c r="AH37" s="2547"/>
      <c r="AI37" s="2547"/>
      <c r="AJ37" s="2547"/>
      <c r="AK37" s="2547"/>
      <c r="AL37" s="2547"/>
      <c r="AM37" s="2547"/>
      <c r="AN37" s="2547"/>
      <c r="AO37" s="2547"/>
      <c r="AP37" s="2548"/>
      <c r="AQ37" s="2549" t="s">
        <v>470</v>
      </c>
      <c r="AR37" s="2552" t="s">
        <v>471</v>
      </c>
      <c r="AS37" s="2392"/>
    </row>
    <row s="32343" customFormat="1" customHeight="1" ht="18.75">
      <c r="A38" s="1732"/>
      <c r="B38" s="1732"/>
      <c r="C38" s="1732"/>
      <c r="D38" s="1732"/>
      <c r="E38" s="1732"/>
      <c r="F38" s="1732"/>
      <c r="G38" s="1732"/>
      <c r="H38" s="1732"/>
      <c r="I38" s="1732"/>
      <c r="J38" s="1732"/>
      <c r="K38" s="1732"/>
      <c r="L38" s="2348"/>
      <c r="M38" s="1728"/>
      <c r="N38" s="1728"/>
      <c r="O38" s="1728"/>
      <c r="P38" s="2349"/>
      <c r="Q38" s="737"/>
      <c r="R38" s="737"/>
      <c r="S38" s="2545"/>
      <c r="T38" s="2482"/>
      <c r="U38" s="1393"/>
      <c r="V38" s="2632" t="s">
        <v>571</v>
      </c>
      <c r="W38" s="2631" t="s">
        <v>572</v>
      </c>
      <c r="X38" s="2631"/>
      <c r="Y38" s="2631"/>
      <c r="Z38" s="2631" t="s">
        <v>573</v>
      </c>
      <c r="AA38" s="2631"/>
      <c r="AB38" s="2631"/>
      <c r="AC38" s="2566" t="s">
        <v>475</v>
      </c>
      <c r="AD38" s="2584"/>
      <c r="AE38" s="2585"/>
      <c r="AF38" s="2550"/>
      <c r="AG38" s="2632" t="s">
        <v>571</v>
      </c>
      <c r="AH38" s="2631" t="s">
        <v>572</v>
      </c>
      <c r="AI38" s="2631"/>
      <c r="AJ38" s="2631"/>
      <c r="AK38" s="2631" t="s">
        <v>573</v>
      </c>
      <c r="AL38" s="2631"/>
      <c r="AM38" s="2631"/>
      <c r="AN38" s="2566" t="s">
        <v>475</v>
      </c>
      <c r="AO38" s="2584"/>
      <c r="AP38" s="2585"/>
      <c r="AQ38" s="2550"/>
      <c r="AR38" s="2553"/>
      <c r="AS38" s="2392"/>
      <c r="AT38" s="2002"/>
      <c r="AU38" s="2002"/>
      <c r="AV38" s="2002"/>
      <c r="AW38" s="2002"/>
      <c r="AX38" s="2002"/>
    </row>
    <row customHeight="1" ht="18.75">
      <c r="Q39" s="737"/>
      <c r="R39" s="737"/>
      <c r="S39" s="2545"/>
      <c r="T39" s="2482"/>
      <c r="U39" s="1393"/>
      <c r="V39" s="2632"/>
      <c r="W39" s="2631" t="s">
        <v>574</v>
      </c>
      <c r="X39" s="2631" t="s">
        <v>575</v>
      </c>
      <c r="Y39" s="2631"/>
      <c r="Z39" s="2631" t="s">
        <v>576</v>
      </c>
      <c r="AA39" s="2631" t="s">
        <v>575</v>
      </c>
      <c r="AB39" s="2631"/>
      <c r="AC39" s="2567"/>
      <c r="AD39" s="2586"/>
      <c r="AE39" s="2587"/>
      <c r="AF39" s="2550"/>
      <c r="AG39" s="2632"/>
      <c r="AH39" s="2631" t="s">
        <v>574</v>
      </c>
      <c r="AI39" s="2631" t="s">
        <v>575</v>
      </c>
      <c r="AJ39" s="2631"/>
      <c r="AK39" s="2631" t="s">
        <v>576</v>
      </c>
      <c r="AL39" s="2631" t="s">
        <v>575</v>
      </c>
      <c r="AM39" s="2631"/>
      <c r="AN39" s="2567"/>
      <c r="AO39" s="2586"/>
      <c r="AP39" s="2587"/>
      <c r="AQ39" s="2550"/>
      <c r="AR39" s="2553"/>
      <c r="AS39" s="2392"/>
    </row>
    <row customHeight="1" ht="59.25">
      <c r="A40" s="1736"/>
      <c r="B40" s="1736" t="s">
        <v>143</v>
      </c>
      <c r="C40" s="1736" t="s">
        <v>144</v>
      </c>
      <c r="D40" s="1736" t="s">
        <v>145</v>
      </c>
      <c r="E40" s="1730" t="s">
        <v>476</v>
      </c>
      <c r="F40" s="1730" t="s">
        <v>477</v>
      </c>
      <c r="G40" s="1730" t="s">
        <v>478</v>
      </c>
      <c r="H40" s="1730"/>
      <c r="I40" s="1730" t="s">
        <v>529</v>
      </c>
      <c r="J40" s="1730" t="s">
        <v>481</v>
      </c>
      <c r="K40" s="1730" t="s">
        <v>530</v>
      </c>
      <c r="L40" s="1730" t="s">
        <v>457</v>
      </c>
      <c r="Q40" s="737"/>
      <c r="R40" s="737"/>
      <c r="S40" s="2545"/>
      <c r="T40" s="2482"/>
      <c r="U40" s="663"/>
      <c r="V40" s="2632"/>
      <c r="W40" s="2631"/>
      <c r="X40" s="2351" t="s">
        <v>577</v>
      </c>
      <c r="Y40" s="2351" t="s">
        <v>578</v>
      </c>
      <c r="Z40" s="2631"/>
      <c r="AA40" s="2351" t="s">
        <v>579</v>
      </c>
      <c r="AB40" s="2351" t="s">
        <v>580</v>
      </c>
      <c r="AC40" s="1855" t="s">
        <v>485</v>
      </c>
      <c r="AD40" s="2541" t="s">
        <v>486</v>
      </c>
      <c r="AE40" s="2542"/>
      <c r="AF40" s="2551"/>
      <c r="AG40" s="2632"/>
      <c r="AH40" s="2631"/>
      <c r="AI40" s="2351" t="s">
        <v>577</v>
      </c>
      <c r="AJ40" s="2351" t="s">
        <v>578</v>
      </c>
      <c r="AK40" s="2631"/>
      <c r="AL40" s="2351" t="s">
        <v>579</v>
      </c>
      <c r="AM40" s="2351" t="s">
        <v>580</v>
      </c>
      <c r="AN40" s="1855" t="s">
        <v>485</v>
      </c>
      <c r="AO40" s="2541" t="s">
        <v>486</v>
      </c>
      <c r="AP40" s="2542"/>
      <c r="AQ40" s="2551"/>
      <c r="AR40" s="2554"/>
      <c r="AS40" s="2392"/>
    </row>
    <row s="32049" customFormat="1" customHeight="1" ht="11.25" hidden="1">
      <c r="A41" s="1736"/>
      <c r="B41" s="1736"/>
      <c r="C41" s="1736"/>
      <c r="D41" s="1736"/>
      <c r="E41" s="1736"/>
      <c r="F41" s="1736"/>
      <c r="G41" s="1736"/>
      <c r="H41" s="1736"/>
      <c r="I41" s="1736"/>
      <c r="J41" s="1736"/>
      <c r="K41" s="1736"/>
      <c r="L41" s="1730"/>
      <c r="M41" s="1728"/>
      <c r="N41" s="1728"/>
      <c r="O41" s="1728"/>
      <c r="P41" s="1611"/>
      <c r="Q41" s="1612"/>
      <c r="R41" s="1619">
        <v>1</v>
      </c>
      <c r="S41" s="1643" t="s">
        <v>118</v>
      </c>
      <c r="T41" s="1620" t="s">
        <v>102</v>
      </c>
      <c r="U41" s="1610" t="str">
        <f>OFFSET(U41,0,-1)</f>
        <v>2</v>
      </c>
      <c r="V41" s="1848">
        <f>OFFSET(V41,0,-1)+1</f>
        <v>3</v>
      </c>
      <c r="W41" s="2347"/>
      <c r="X41" s="2347"/>
      <c r="Y41" s="2347"/>
      <c r="Z41" s="2347"/>
      <c r="AA41" s="2347"/>
      <c r="AB41" s="1848">
        <f>OFFSET(AB41,0,-1)+1</f>
        <v>1</v>
      </c>
      <c r="AC41" s="1848">
        <f>OFFSET(AC41,0,-1)+1</f>
        <v>2</v>
      </c>
      <c r="AD41" s="2543">
        <f>OFFSET(AD41,0,-1)+1</f>
        <v>3</v>
      </c>
      <c r="AE41" s="2543"/>
      <c r="AF41" s="1848">
        <f>OFFSET(AF41,0,-2)+1</f>
        <v>4</v>
      </c>
      <c r="AG41" s="1848">
        <f>OFFSET(AG41,0,-1)+1</f>
        <v>5</v>
      </c>
      <c r="AH41" s="2347"/>
      <c r="AI41" s="2347"/>
      <c r="AJ41" s="2347"/>
      <c r="AK41" s="2347"/>
      <c r="AL41" s="2347"/>
      <c r="AM41" s="1848">
        <f>OFFSET(AM41,0,-1)+1</f>
        <v>1</v>
      </c>
      <c r="AN41" s="1848">
        <f>OFFSET(AN41,0,-1)+1</f>
        <v>2</v>
      </c>
      <c r="AO41" s="2543">
        <f>OFFSET(AO41,0,-1)+1</f>
        <v>3</v>
      </c>
      <c r="AP41" s="2543"/>
      <c r="AQ41" s="1848">
        <f>OFFSET(AQ41,0,-2)+1</f>
        <v>4</v>
      </c>
      <c r="AR41" s="1610">
        <f>OFFSET(AR41,0,-1)</f>
        <v>4</v>
      </c>
      <c r="AS41" s="1848">
        <f>OFFSET(AS41,0,-1)+1</f>
        <v>5</v>
      </c>
      <c r="AT41" s="872"/>
      <c r="AU41" s="872"/>
      <c r="AV41" s="872"/>
      <c r="AW41" s="872"/>
      <c r="AX41" s="872"/>
    </row>
    <row customHeight="1" ht="23.25">
      <c r="A42" s="1729" t="s">
        <v>297</v>
      </c>
      <c r="B42" s="1729"/>
      <c r="C42" s="1729"/>
      <c r="D42" s="1729"/>
      <c r="E42" s="2527">
        <v>1</v>
      </c>
      <c r="F42" s="1729"/>
      <c r="G42" s="1729"/>
      <c r="H42" s="1729"/>
      <c r="I42" s="1729"/>
      <c r="J42" s="1729"/>
      <c r="K42" s="1729"/>
      <c r="L42" s="1730"/>
      <c r="M42" s="1731"/>
      <c r="N42" s="1731"/>
      <c r="O42" s="1731"/>
      <c r="P42" s="722"/>
      <c r="Q42" s="721"/>
      <c r="R42" s="716"/>
      <c r="S42" s="1859">
        <f>INDEX(PT_DIFFERENTIATION_NUM_NTAR,MATCH(A42,PT_DIFFERENTIATION_NTAR_ID,0))</f>
        <v>0</v>
      </c>
      <c r="T42" s="659" t="s">
        <v>131</v>
      </c>
      <c r="U42" s="661"/>
      <c r="V42" s="2521"/>
      <c r="W42" s="2522"/>
      <c r="X42" s="2522"/>
      <c r="Y42" s="2522"/>
      <c r="Z42" s="2522"/>
      <c r="AA42" s="2522"/>
      <c r="AB42" s="2522"/>
      <c r="AC42" s="2522"/>
      <c r="AD42" s="2522"/>
      <c r="AE42" s="2522"/>
      <c r="AF42" s="2523"/>
      <c r="AG42" s="2521" t="str">
        <f>INDEX(PT_DIFFERENTIATION_NTAR,MATCH(A42,PT_DIFFERENTIATION_NTAR_ID,0))</f>
        <v/>
      </c>
      <c r="AH42" s="2522"/>
      <c r="AI42" s="2522"/>
      <c r="AJ42" s="2522"/>
      <c r="AK42" s="2522"/>
      <c r="AL42" s="2522"/>
      <c r="AM42" s="2522"/>
      <c r="AN42" s="2522"/>
      <c r="AO42" s="2522"/>
      <c r="AP42" s="2522"/>
      <c r="AQ42" s="2522"/>
      <c r="AR42" s="2523"/>
      <c r="AS42"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861"/>
      <c r="AV42" s="861" t="str">
        <f>IF(T42="","",T42)</f>
        <v>Наименование тарифа</v>
      </c>
      <c r="AW42" s="861"/>
      <c r="AX42" s="861"/>
    </row>
    <row customHeight="1" ht="23.25">
      <c r="A43" s="1729" t="s">
        <v>297</v>
      </c>
      <c r="B43" s="1729" t="s">
        <v>298</v>
      </c>
      <c r="C43" s="1729"/>
      <c r="D43" s="1729"/>
      <c r="E43" s="2528"/>
      <c r="F43" s="2527">
        <v>1</v>
      </c>
      <c r="G43" s="1729"/>
      <c r="H43" s="1729"/>
      <c r="I43" s="1729"/>
      <c r="J43" s="1729"/>
      <c r="K43" s="1729"/>
      <c r="L43" s="1730"/>
      <c r="M43" s="1731"/>
      <c r="N43" s="1731"/>
      <c r="O43" s="1731"/>
      <c r="P43" s="1853"/>
      <c r="Q43" s="713"/>
      <c r="R43" s="714"/>
      <c r="S43" s="1859" t="str">
        <f>INDEX(PT_DIFFERENTIATION_NUM_TER,MATCH(B43,PT_DIFFERENTIATION_TER_ID,0))</f>
        <v>.</v>
      </c>
      <c r="T43" s="669" t="s">
        <v>438</v>
      </c>
      <c r="U43" s="661"/>
      <c r="V43" s="2521"/>
      <c r="W43" s="2522"/>
      <c r="X43" s="2522"/>
      <c r="Y43" s="2522"/>
      <c r="Z43" s="2522"/>
      <c r="AA43" s="2522"/>
      <c r="AB43" s="2522"/>
      <c r="AC43" s="2522"/>
      <c r="AD43" s="2522"/>
      <c r="AE43" s="2522"/>
      <c r="AF43" s="2523"/>
      <c r="AG43" s="2521" t="str">
        <f>INDEX(PT_DIFFERENTIATION_TER,MATCH(B43,PT_DIFFERENTIATION_TER_ID,0))</f>
        <v/>
      </c>
      <c r="AH43" s="2522"/>
      <c r="AI43" s="2522"/>
      <c r="AJ43" s="2522"/>
      <c r="AK43" s="2522"/>
      <c r="AL43" s="2522"/>
      <c r="AM43" s="2522"/>
      <c r="AN43" s="2522"/>
      <c r="AO43" s="2522"/>
      <c r="AP43" s="2522"/>
      <c r="AQ43" s="2522"/>
      <c r="AR43" s="2523"/>
      <c r="AS43" s="1623" t="s">
        <v>439</v>
      </c>
      <c r="AU43" s="861"/>
      <c r="AV43" s="861" t="str">
        <f>IF(T43="","",T43)</f>
        <v>Территория действия тарифа</v>
      </c>
      <c r="AW43" s="861"/>
      <c r="AX43" s="861"/>
    </row>
    <row customHeight="1" ht="23.25">
      <c r="A44" s="1729" t="s">
        <v>297</v>
      </c>
      <c r="B44" s="1729" t="s">
        <v>298</v>
      </c>
      <c r="C44" s="1729" t="s">
        <v>299</v>
      </c>
      <c r="D44" s="1729"/>
      <c r="E44" s="2528"/>
      <c r="F44" s="2528"/>
      <c r="G44" s="2527">
        <v>1</v>
      </c>
      <c r="H44" s="1729"/>
      <c r="I44" s="1729"/>
      <c r="J44" s="1729"/>
      <c r="K44" s="1729"/>
      <c r="L44" s="1730"/>
      <c r="M44" s="1731"/>
      <c r="N44" s="1731"/>
      <c r="O44" s="1731"/>
      <c r="P44" s="715"/>
      <c r="Q44" s="713"/>
      <c r="R44" s="714"/>
      <c r="S44" s="1859" t="str">
        <f>INDEX(PT_DIFFERENTIATION_NUM_CS,MATCH(C44,PT_DIFFERENTIATION_CS_ID,0))</f>
        <v>..</v>
      </c>
      <c r="T44" s="670" t="s">
        <v>569</v>
      </c>
      <c r="U44" s="661"/>
      <c r="V44" s="2521"/>
      <c r="W44" s="2522"/>
      <c r="X44" s="2522"/>
      <c r="Y44" s="2522"/>
      <c r="Z44" s="2522"/>
      <c r="AA44" s="2522"/>
      <c r="AB44" s="2522"/>
      <c r="AC44" s="2522"/>
      <c r="AD44" s="2522"/>
      <c r="AE44" s="2522"/>
      <c r="AF44" s="2523"/>
      <c r="AG44" s="2521" t="str">
        <f>INDEX(PT_DIFFERENTIATION_CS,MATCH(C44,PT_DIFFERENTIATION_CS_ID,0))</f>
        <v/>
      </c>
      <c r="AH44" s="2522"/>
      <c r="AI44" s="2522"/>
      <c r="AJ44" s="2522"/>
      <c r="AK44" s="2522"/>
      <c r="AL44" s="2522"/>
      <c r="AM44" s="2522"/>
      <c r="AN44" s="2522"/>
      <c r="AO44" s="2522"/>
      <c r="AP44" s="2522"/>
      <c r="AQ44" s="2522"/>
      <c r="AR44" s="2523"/>
      <c r="AS44" s="1623" t="s">
        <v>570</v>
      </c>
      <c r="AU44" s="861"/>
      <c r="AV44" s="861" t="str">
        <f>IF(T44="","",T44)</f>
        <v>Наименование централизованной системы горячего водоснабжения</v>
      </c>
      <c r="AW44" s="861"/>
      <c r="AX44" s="861"/>
    </row>
    <row customHeight="1" ht="23.25">
      <c r="A45" s="1729" t="s">
        <v>297</v>
      </c>
      <c r="B45" s="1729" t="s">
        <v>298</v>
      </c>
      <c r="C45" s="1729" t="s">
        <v>299</v>
      </c>
      <c r="D45" s="1729" t="s">
        <v>584</v>
      </c>
      <c r="E45" s="2528"/>
      <c r="F45" s="2528"/>
      <c r="G45" s="2528"/>
      <c r="H45" s="2528"/>
      <c r="I45" s="2529" t="str">
        <f>S44&amp;".1"</f>
        <v>...1</v>
      </c>
      <c r="J45" s="1729"/>
      <c r="K45" s="1729"/>
      <c r="L45" s="1730"/>
      <c r="P45" s="2531">
        <v>1</v>
      </c>
      <c r="Q45" s="1847"/>
      <c r="R45" s="717"/>
      <c r="S45" s="1859" t="str">
        <f>$I45</f>
        <v>...1</v>
      </c>
      <c r="T45" s="646" t="s">
        <v>522</v>
      </c>
      <c r="U45" s="661"/>
      <c r="V45" s="2614"/>
      <c r="W45" s="2615"/>
      <c r="X45" s="2615"/>
      <c r="Y45" s="2615"/>
      <c r="Z45" s="2615"/>
      <c r="AA45" s="2615"/>
      <c r="AB45" s="2615"/>
      <c r="AC45" s="2615"/>
      <c r="AD45" s="2615"/>
      <c r="AE45" s="2615"/>
      <c r="AF45" s="2616"/>
      <c r="AG45" s="2617"/>
      <c r="AH45" s="2618"/>
      <c r="AI45" s="2618"/>
      <c r="AJ45" s="2618"/>
      <c r="AK45" s="2618"/>
      <c r="AL45" s="2618"/>
      <c r="AM45" s="2618"/>
      <c r="AN45" s="2618"/>
      <c r="AO45" s="2618"/>
      <c r="AP45" s="2618"/>
      <c r="AQ45" s="2618"/>
      <c r="AR45" s="2619"/>
      <c r="AS45" s="1623" t="s">
        <v>523</v>
      </c>
      <c r="AU45" s="861"/>
      <c r="AV45" s="861" t="str">
        <f>IF(T45="","",T45)</f>
        <v>Наименование признака дифференциации</v>
      </c>
      <c r="AW45" s="861"/>
      <c r="AX45" s="861"/>
    </row>
    <row customHeight="1" ht="23.25">
      <c r="A46" s="1729" t="s">
        <v>297</v>
      </c>
      <c r="B46" s="1729" t="s">
        <v>298</v>
      </c>
      <c r="C46" s="1729" t="s">
        <v>299</v>
      </c>
      <c r="D46" s="1729" t="s">
        <v>584</v>
      </c>
      <c r="E46" s="2528"/>
      <c r="F46" s="2528"/>
      <c r="G46" s="2528"/>
      <c r="H46" s="2528"/>
      <c r="I46" s="2530"/>
      <c r="J46" s="2529" t="str">
        <f>I45&amp;".1"</f>
        <v>...1.1</v>
      </c>
      <c r="K46" s="1729"/>
      <c r="L46" s="1730" t="s">
        <v>447</v>
      </c>
      <c r="P46" s="2531"/>
      <c r="Q46" s="2531">
        <v>1</v>
      </c>
      <c r="R46" s="718"/>
      <c r="S46" s="1859" t="str">
        <f>$J46</f>
        <v>...1.1</v>
      </c>
      <c r="T46" s="647" t="s">
        <v>448</v>
      </c>
      <c r="U46" s="661"/>
      <c r="V46" s="2515"/>
      <c r="W46" s="2516"/>
      <c r="X46" s="2516"/>
      <c r="Y46" s="2516"/>
      <c r="Z46" s="2516"/>
      <c r="AA46" s="2516"/>
      <c r="AB46" s="2516"/>
      <c r="AC46" s="2516"/>
      <c r="AD46" s="2516"/>
      <c r="AE46" s="2516"/>
      <c r="AF46" s="2517"/>
      <c r="AG46" s="2515"/>
      <c r="AH46" s="2516"/>
      <c r="AI46" s="2516"/>
      <c r="AJ46" s="2516"/>
      <c r="AK46" s="2516"/>
      <c r="AL46" s="2516"/>
      <c r="AM46" s="2516"/>
      <c r="AN46" s="2516"/>
      <c r="AO46" s="2516"/>
      <c r="AP46" s="2516"/>
      <c r="AQ46" s="2516"/>
      <c r="AR46" s="2517"/>
      <c r="AS46" s="1673" t="s">
        <v>524</v>
      </c>
      <c r="AU46" s="861"/>
      <c r="AV46" s="861" t="str">
        <f>IF(T46="","",T46)</f>
        <v>Группа потребителей</v>
      </c>
      <c r="AW46" s="861"/>
      <c r="AX46" s="861"/>
    </row>
    <row customHeight="1" ht="23.25">
      <c r="A47" s="1729" t="s">
        <v>297</v>
      </c>
      <c r="B47" s="1729" t="s">
        <v>298</v>
      </c>
      <c r="C47" s="1729" t="s">
        <v>299</v>
      </c>
      <c r="D47" s="1729" t="s">
        <v>584</v>
      </c>
      <c r="E47" s="2528"/>
      <c r="F47" s="2528"/>
      <c r="G47" s="2528"/>
      <c r="H47" s="2528"/>
      <c r="I47" s="2530"/>
      <c r="J47" s="2530"/>
      <c r="K47" s="2529" t="str">
        <f>J46&amp;".1"</f>
        <v>...1.1.1</v>
      </c>
      <c r="L47" s="1730"/>
      <c r="P47" s="2531"/>
      <c r="Q47" s="2531"/>
      <c r="R47" s="718">
        <v>1</v>
      </c>
      <c r="S47" s="1859" t="str">
        <f>$K47</f>
        <v>...1.1.1</v>
      </c>
      <c r="T47" s="1803"/>
      <c r="U47" s="661"/>
      <c r="V47" s="1726"/>
      <c r="W47" s="1726"/>
      <c r="X47" s="1726"/>
      <c r="Y47" s="1726"/>
      <c r="Z47" s="1726"/>
      <c r="AA47" s="1726"/>
      <c r="AB47" s="1727"/>
      <c r="AC47" s="2525"/>
      <c r="AD47" s="2524" t="s">
        <v>66</v>
      </c>
      <c r="AE47" s="2525"/>
      <c r="AF47" s="2524" t="s">
        <v>66</v>
      </c>
      <c r="AG47" s="1112"/>
      <c r="AH47" s="1112"/>
      <c r="AI47" s="1112"/>
      <c r="AJ47" s="1112"/>
      <c r="AK47" s="1112"/>
      <c r="AL47" s="1112"/>
      <c r="AM47" s="1622"/>
      <c r="AN47" s="2532"/>
      <c r="AO47" s="2402" t="s">
        <v>66</v>
      </c>
      <c r="AP47" s="2534"/>
      <c r="AQ47" s="2402" t="s">
        <v>56</v>
      </c>
      <c r="AR47" s="1804"/>
      <c r="AS47" s="26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872">
        <f>STRCHECKDATE(V48:AR48)</f>
      </c>
      <c r="AU47" s="861"/>
      <c r="AV47" s="861" t="str">
        <f>IF(T47="","",T47)</f>
        <v/>
      </c>
      <c r="AW47" s="861"/>
      <c r="AX47" s="861"/>
    </row>
    <row customHeight="1" ht="0">
      <c r="A48" s="1729" t="s">
        <v>297</v>
      </c>
      <c r="B48" s="1729" t="s">
        <v>298</v>
      </c>
      <c r="C48" s="1729" t="s">
        <v>299</v>
      </c>
      <c r="D48" s="1729" t="s">
        <v>584</v>
      </c>
      <c r="E48" s="2528"/>
      <c r="F48" s="2528"/>
      <c r="G48" s="2528"/>
      <c r="H48" s="2528"/>
      <c r="I48" s="2530"/>
      <c r="J48" s="2530"/>
      <c r="K48" s="2529"/>
      <c r="L48" s="1730"/>
      <c r="P48" s="2531"/>
      <c r="Q48" s="2531"/>
      <c r="R48" s="718"/>
      <c r="S48" s="1856"/>
      <c r="T48" s="661"/>
      <c r="U48" s="661"/>
      <c r="V48" s="1726"/>
      <c r="W48" s="1726"/>
      <c r="X48" s="1726"/>
      <c r="Y48" s="1726"/>
      <c r="Z48" s="1726"/>
      <c r="AA48" s="1726"/>
      <c r="AB48" s="689" t="str">
        <f>AC47&amp;"-"&amp;AE47</f>
        <v>-</v>
      </c>
      <c r="AC48" s="2524"/>
      <c r="AD48" s="2524"/>
      <c r="AE48" s="2524"/>
      <c r="AF48" s="2524"/>
      <c r="AG48" s="686"/>
      <c r="AH48" s="686"/>
      <c r="AI48" s="686"/>
      <c r="AJ48" s="686"/>
      <c r="AK48" s="686"/>
      <c r="AL48" s="686"/>
      <c r="AM48" s="689" t="str">
        <f>AN47&amp;"-"&amp;AP47</f>
        <v>-</v>
      </c>
      <c r="AN48" s="2533"/>
      <c r="AO48" s="2402"/>
      <c r="AP48" s="2535"/>
      <c r="AQ48" s="2402"/>
      <c r="AR48" s="1805"/>
      <c r="AS48" s="2620"/>
      <c r="AU48" s="861"/>
      <c r="AV48" s="861" t="str">
        <f>IF(T48="","",T48)</f>
        <v/>
      </c>
      <c r="AW48" s="861"/>
      <c r="AX48" s="861"/>
    </row>
    <row customHeight="1" ht="21">
      <c r="A49" s="1729" t="s">
        <v>297</v>
      </c>
      <c r="B49" s="1729" t="s">
        <v>298</v>
      </c>
      <c r="C49" s="1729" t="s">
        <v>299</v>
      </c>
      <c r="D49" s="1729" t="s">
        <v>584</v>
      </c>
      <c r="E49" s="2528"/>
      <c r="F49" s="2528"/>
      <c r="G49" s="2528"/>
      <c r="H49" s="2528"/>
      <c r="I49" s="2530"/>
      <c r="J49" s="2529"/>
      <c r="K49" s="1729"/>
      <c r="L49" s="1730"/>
      <c r="P49" s="2531"/>
      <c r="Q49" s="2531"/>
      <c r="R49" s="717"/>
      <c r="S49" s="1644"/>
      <c r="T49" s="648" t="s">
        <v>525</v>
      </c>
      <c r="U49" s="728"/>
      <c r="V49" s="728"/>
      <c r="W49" s="961"/>
      <c r="X49" s="961"/>
      <c r="Y49" s="961"/>
      <c r="Z49" s="961"/>
      <c r="AA49" s="961"/>
      <c r="AB49" s="728"/>
      <c r="AC49" s="728"/>
      <c r="AD49" s="728"/>
      <c r="AE49" s="728"/>
      <c r="AF49" s="728"/>
      <c r="AG49" s="728"/>
      <c r="AH49" s="961"/>
      <c r="AI49" s="961"/>
      <c r="AJ49" s="961"/>
      <c r="AK49" s="961"/>
      <c r="AL49" s="961"/>
      <c r="AM49" s="728"/>
      <c r="AN49" s="728"/>
      <c r="AO49" s="728"/>
      <c r="AP49" s="728"/>
      <c r="AQ49" s="728"/>
      <c r="AR49" s="728"/>
      <c r="AS49" s="1623" t="s">
        <v>526</v>
      </c>
      <c r="AU49" s="861"/>
      <c r="AV49" s="861" t="str">
        <f>IF(T49="","",T49)</f>
        <v>Добавить значение признака дифференциации</v>
      </c>
      <c r="AW49" s="861"/>
      <c r="AX49" s="861"/>
    </row>
    <row customHeight="1" ht="21">
      <c r="A50" s="1729" t="s">
        <v>297</v>
      </c>
      <c r="B50" s="1729" t="s">
        <v>298</v>
      </c>
      <c r="C50" s="1729" t="s">
        <v>299</v>
      </c>
      <c r="D50" s="1729" t="s">
        <v>584</v>
      </c>
      <c r="E50" s="2528"/>
      <c r="F50" s="2528"/>
      <c r="G50" s="2528"/>
      <c r="H50" s="2528"/>
      <c r="I50" s="2529"/>
      <c r="J50" s="1729"/>
      <c r="K50" s="1729"/>
      <c r="L50" s="1730"/>
      <c r="P50" s="2531"/>
      <c r="Q50" s="1847"/>
      <c r="R50" s="717"/>
      <c r="S50" s="1644"/>
      <c r="T50" s="726" t="s">
        <v>453</v>
      </c>
      <c r="U50" s="728"/>
      <c r="V50" s="728"/>
      <c r="W50" s="961"/>
      <c r="X50" s="961"/>
      <c r="Y50" s="961"/>
      <c r="Z50" s="961"/>
      <c r="AA50" s="961"/>
      <c r="AB50" s="728"/>
      <c r="AC50" s="728"/>
      <c r="AD50" s="728"/>
      <c r="AE50" s="728"/>
      <c r="AF50" s="727"/>
      <c r="AG50" s="728"/>
      <c r="AH50" s="961"/>
      <c r="AI50" s="961"/>
      <c r="AJ50" s="961"/>
      <c r="AK50" s="961"/>
      <c r="AL50" s="961"/>
      <c r="AM50" s="728"/>
      <c r="AN50" s="728"/>
      <c r="AO50" s="728"/>
      <c r="AP50" s="728"/>
      <c r="AQ50" s="727"/>
      <c r="AR50" s="728"/>
      <c r="AS50" s="1806"/>
      <c r="AU50" s="861"/>
      <c r="AV50" s="861" t="str">
        <f>IF(T50="","",T50)</f>
        <v>Добавить группу потребителей</v>
      </c>
      <c r="AW50" s="861"/>
      <c r="AX50" s="861"/>
    </row>
    <row customHeight="1" ht="21">
      <c r="A51" s="1729" t="s">
        <v>297</v>
      </c>
      <c r="B51" s="1729" t="s">
        <v>298</v>
      </c>
      <c r="C51" s="1729" t="s">
        <v>299</v>
      </c>
      <c r="D51" s="1729" t="s">
        <v>584</v>
      </c>
      <c r="E51" s="2528"/>
      <c r="F51" s="2528"/>
      <c r="G51" s="2528"/>
      <c r="H51" s="2527"/>
      <c r="I51" s="1729"/>
      <c r="J51" s="1729"/>
      <c r="K51" s="1729"/>
      <c r="L51" s="1730"/>
      <c r="M51" s="1731"/>
      <c r="N51" s="1731"/>
      <c r="O51" s="898"/>
      <c r="P51" s="721"/>
      <c r="Q51" s="736"/>
      <c r="R51" s="716"/>
      <c r="S51" s="1644"/>
      <c r="T51" s="733" t="s">
        <v>527</v>
      </c>
      <c r="U51" s="728"/>
      <c r="V51" s="728"/>
      <c r="W51" s="961"/>
      <c r="X51" s="961"/>
      <c r="Y51" s="961"/>
      <c r="Z51" s="961"/>
      <c r="AA51" s="961"/>
      <c r="AB51" s="728"/>
      <c r="AC51" s="728"/>
      <c r="AD51" s="728"/>
      <c r="AE51" s="728"/>
      <c r="AF51" s="727"/>
      <c r="AG51" s="728"/>
      <c r="AH51" s="961"/>
      <c r="AI51" s="961"/>
      <c r="AJ51" s="961"/>
      <c r="AK51" s="961"/>
      <c r="AL51" s="961"/>
      <c r="AM51" s="728"/>
      <c r="AN51" s="728"/>
      <c r="AO51" s="728"/>
      <c r="AP51" s="728"/>
      <c r="AQ51" s="727"/>
      <c r="AR51" s="728"/>
      <c r="AS51" s="664"/>
      <c r="AU51" s="861"/>
      <c r="AV51" s="861" t="str">
        <f>IF(T51="","",T51)</f>
        <v>Добавить наименование признака дифференциации</v>
      </c>
      <c r="AW51" s="861"/>
      <c r="AX51" s="861"/>
    </row>
    <row s="32198" customFormat="1" customHeight="1" ht="0">
      <c r="A52" s="1709" t="s">
        <v>297</v>
      </c>
      <c r="B52" s="1709" t="s">
        <v>298</v>
      </c>
      <c r="C52" s="1680"/>
      <c r="D52" s="1680"/>
      <c r="E52" s="2528"/>
      <c r="F52" s="2527"/>
      <c r="G52" s="1680"/>
      <c r="H52" s="1680"/>
      <c r="I52" s="1680"/>
      <c r="J52" s="1680"/>
      <c r="K52" s="1680"/>
      <c r="L52" s="1860"/>
      <c r="M52" s="1687"/>
      <c r="N52" s="1687"/>
      <c r="P52" s="1682"/>
      <c r="Q52" s="1683"/>
      <c r="R52" s="1682"/>
      <c r="S52" s="1688"/>
      <c r="T52" s="1691" t="s">
        <v>262</v>
      </c>
      <c r="U52" s="1690"/>
      <c r="V52" s="1690"/>
      <c r="W52" s="1690"/>
      <c r="X52" s="1690"/>
      <c r="Y52" s="1690"/>
      <c r="Z52" s="1690"/>
      <c r="AA52" s="1690"/>
      <c r="AB52" s="1690"/>
      <c r="AC52" s="1690"/>
      <c r="AD52" s="1690"/>
      <c r="AE52" s="1690"/>
      <c r="AF52" s="1690"/>
      <c r="AG52" s="1690"/>
      <c r="AH52" s="1690"/>
      <c r="AI52" s="1690"/>
      <c r="AJ52" s="1690"/>
      <c r="AK52" s="1690"/>
      <c r="AL52" s="1690"/>
      <c r="AM52" s="1690"/>
      <c r="AN52" s="1690"/>
      <c r="AO52" s="1690"/>
      <c r="AP52" s="1690"/>
      <c r="AQ52" s="1690"/>
      <c r="AR52" s="1690"/>
      <c r="AS52" s="1690"/>
      <c r="AU52" s="1150"/>
      <c r="AV52" s="1150" t="str">
        <f>IF(T52="","",T52)</f>
        <v>Добавить централизованную систему для дифференциации</v>
      </c>
      <c r="AW52" s="1150"/>
      <c r="AX52" s="1150"/>
    </row>
    <row s="32289" customFormat="1" customHeight="1" ht="0">
      <c r="A53" s="1709" t="s">
        <v>297</v>
      </c>
      <c r="B53" s="1709"/>
      <c r="C53" s="1709"/>
      <c r="D53" s="1709"/>
      <c r="E53" s="2527"/>
      <c r="F53" s="1709"/>
      <c r="G53" s="1709"/>
      <c r="H53" s="1709"/>
      <c r="I53" s="1709"/>
      <c r="J53" s="1709"/>
      <c r="K53" s="1709"/>
      <c r="L53" s="1712"/>
      <c r="M53" s="1687"/>
      <c r="N53" s="1687"/>
      <c r="O53" s="879"/>
      <c r="P53" s="741"/>
      <c r="Q53" s="1710"/>
      <c r="R53" s="741"/>
      <c r="S53" s="1688"/>
      <c r="T53" s="1691" t="s">
        <v>270</v>
      </c>
      <c r="U53" s="1690"/>
      <c r="V53" s="1690"/>
      <c r="W53" s="1690"/>
      <c r="X53" s="1690"/>
      <c r="Y53" s="1690"/>
      <c r="Z53" s="1690"/>
      <c r="AA53" s="1690"/>
      <c r="AB53" s="1690"/>
      <c r="AC53" s="1690"/>
      <c r="AD53" s="1690"/>
      <c r="AE53" s="1690"/>
      <c r="AF53" s="1690"/>
      <c r="AG53" s="1690"/>
      <c r="AH53" s="1690"/>
      <c r="AI53" s="1690"/>
      <c r="AJ53" s="1690"/>
      <c r="AK53" s="1690"/>
      <c r="AL53" s="1690"/>
      <c r="AM53" s="1690"/>
      <c r="AN53" s="1690"/>
      <c r="AO53" s="1690"/>
      <c r="AP53" s="1690"/>
      <c r="AQ53" s="1690"/>
      <c r="AR53" s="1690"/>
      <c r="AS53" s="1690"/>
      <c r="AU53" s="861"/>
      <c r="AV53" s="861" t="str">
        <f>IF(T53="","",T53)</f>
        <v>Добавить территорию для дифференциации</v>
      </c>
      <c r="AW53" s="861"/>
      <c r="AX53" s="861"/>
    </row>
    <row s="32198" customFormat="1" customHeight="1" ht="0">
      <c r="A54" s="1680"/>
      <c r="B54" s="1680"/>
      <c r="C54" s="1680"/>
      <c r="D54" s="1680"/>
      <c r="E54" s="1709"/>
      <c r="F54" s="1680"/>
      <c r="G54" s="1680"/>
      <c r="H54" s="1680"/>
      <c r="I54" s="1680"/>
      <c r="J54" s="1680"/>
      <c r="K54" s="1680"/>
      <c r="L54" s="1860"/>
      <c r="M54" s="1687"/>
      <c r="N54" s="1687"/>
      <c r="P54" s="1682"/>
      <c r="Q54" s="1683"/>
      <c r="R54" s="1682"/>
      <c r="S54" s="1688"/>
      <c r="T54" s="1691" t="s">
        <v>294</v>
      </c>
      <c r="U54" s="1690"/>
      <c r="V54" s="1690"/>
      <c r="W54" s="1690"/>
      <c r="X54" s="1690"/>
      <c r="Y54" s="1690"/>
      <c r="Z54" s="1690"/>
      <c r="AA54" s="1690"/>
      <c r="AB54" s="1690"/>
      <c r="AC54" s="1690"/>
      <c r="AD54" s="1690"/>
      <c r="AE54" s="1690"/>
      <c r="AF54" s="1690"/>
      <c r="AG54" s="1690"/>
      <c r="AH54" s="1690"/>
      <c r="AI54" s="1690"/>
      <c r="AJ54" s="1690"/>
      <c r="AK54" s="1690"/>
      <c r="AL54" s="1690"/>
      <c r="AM54" s="1690"/>
      <c r="AN54" s="1690"/>
      <c r="AO54" s="1690"/>
      <c r="AP54" s="1690"/>
      <c r="AQ54" s="1690"/>
      <c r="AR54" s="1690"/>
      <c r="AS54" s="1690"/>
      <c r="AU54" s="1150"/>
      <c r="AV54" s="1150" t="str">
        <f>IF(T54="","",T54)</f>
        <v>Добавить наименование тарифа</v>
      </c>
      <c r="AW54" s="1150"/>
      <c r="AX54" s="1150"/>
    </row>
    <row customHeight="1" ht="11.25">
      <c r="M55" s="1523"/>
      <c r="N55" s="1523"/>
      <c r="O55" s="898"/>
      <c r="P55" s="1518"/>
      <c r="Q55" s="1518"/>
      <c r="R55" s="1518"/>
      <c r="S55" s="1518"/>
      <c r="AT55" s="1518"/>
      <c r="AU55" s="1518"/>
      <c r="AV55" s="1518"/>
      <c r="AW55" s="1518"/>
      <c r="AX55" s="1518"/>
    </row>
    <row customHeight="1" ht="14.25">
      <c r="O56" s="898"/>
      <c r="S56" s="1618"/>
      <c r="T56" s="2526"/>
      <c r="U56" s="2526"/>
      <c r="V56" s="2526"/>
      <c r="W56" s="2526"/>
      <c r="X56" s="2526"/>
      <c r="Y56" s="2526"/>
      <c r="Z56" s="2526"/>
      <c r="AA56" s="2526"/>
      <c r="AB56" s="2526"/>
      <c r="AC56" s="2526"/>
      <c r="AD56" s="2526"/>
      <c r="AE56" s="2526"/>
      <c r="AF56" s="2526"/>
      <c r="AG56" s="2526"/>
      <c r="AH56" s="2526"/>
      <c r="AI56" s="2526"/>
      <c r="AJ56" s="2526"/>
      <c r="AK56" s="2526"/>
      <c r="AL56" s="2526"/>
      <c r="AM56" s="2526"/>
      <c r="AN56" s="2526"/>
      <c r="AO56" s="2526"/>
      <c r="AP56" s="2526"/>
      <c r="AQ56" s="2526"/>
      <c r="AR56" s="2526"/>
      <c r="AS56" s="2526"/>
    </row>
    <row customHeight="1" ht="14.25">
      <c r="O57" s="898"/>
    </row>
    <row customHeight="1" ht="14.25">
      <c r="O58" s="898"/>
      <c r="S58" s="1618"/>
      <c r="T58" s="2526"/>
      <c r="U58" s="2526"/>
      <c r="V58" s="2526"/>
      <c r="W58" s="2526"/>
      <c r="X58" s="2526"/>
      <c r="Y58" s="2526"/>
      <c r="Z58" s="2526"/>
      <c r="AA58" s="2526"/>
      <c r="AB58" s="2526"/>
      <c r="AC58" s="2526"/>
      <c r="AD58" s="2526"/>
      <c r="AE58" s="2526"/>
      <c r="AF58" s="2526"/>
      <c r="AG58" s="2526"/>
      <c r="AH58" s="2526"/>
      <c r="AI58" s="2526"/>
      <c r="AJ58" s="2526"/>
      <c r="AK58" s="2526"/>
      <c r="AL58" s="2526"/>
      <c r="AM58" s="2526"/>
      <c r="AN58" s="2526"/>
      <c r="AO58" s="2526"/>
      <c r="AP58" s="2526"/>
      <c r="AQ58" s="2526"/>
      <c r="AR58" s="2526"/>
      <c r="AS58" s="2526"/>
    </row>
  </sheetData>
  <sheetProtection formatColumns="0" formatRows="0" autoFilter="0" sort="0" insertRows="0" insertColumns="1" deleteRows="0" deleteColumns="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48C41-DA07-DCE2-970A-C9E45A5279BD}"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217" width="11.57421875" hidden="1" customWidth="1"/>
    <col min="2" max="2" style="32217" width="11.00390625" hidden="1" customWidth="1"/>
    <col min="3" max="3" style="32217" width="10.57421875" hidden="1"/>
    <col min="4" max="4" style="32217" width="12.8515625" hidden="1" customWidth="1"/>
    <col min="5" max="5" style="32217" width="10.00390625" hidden="1" customWidth="1"/>
    <col min="6" max="6" style="32217" width="8.7109375" hidden="1" customWidth="1"/>
    <col min="7" max="7" style="32217" width="7.57421875" hidden="1" customWidth="1"/>
    <col min="8" max="8" style="32217" width="11.421875" hidden="1" customWidth="1"/>
    <col min="9" max="9" style="32217" width="12.00390625" hidden="1" customWidth="1"/>
    <col min="10" max="10" style="32217" width="9.8515625" hidden="1" customWidth="1"/>
    <col min="11" max="11" style="32217" width="11.421875" hidden="1" customWidth="1"/>
    <col min="12" max="12" style="32566" width="19.140625" hidden="1" customWidth="1"/>
    <col min="13" max="14" style="32298" width="12.28125" hidden="1" customWidth="1"/>
    <col min="15" max="15" style="32298" width="23.421875" hidden="1" customWidth="1"/>
    <col min="16" max="16" style="32298" width="3.7109375" hidden="1" customWidth="1"/>
    <col min="17" max="17" style="32470" width="3.7109375" hidden="1" customWidth="1"/>
    <col min="18" max="18" style="32300" width="3.7109375" customWidth="1"/>
    <col min="19" max="19" style="32301" width="12.7109375" customWidth="1"/>
    <col min="20" max="20" style="32302" width="32.00390625" customWidth="1"/>
    <col min="21" max="21" style="32302" width="0.140625" customWidth="1"/>
    <col min="22" max="25" style="32302" width="21.7109375" hidden="1" customWidth="1"/>
    <col min="26" max="26" style="32302" width="11.7109375" hidden="1" customWidth="1"/>
    <col min="27" max="27" style="32302" width="3.7109375" hidden="1" customWidth="1"/>
    <col min="28" max="28" style="32302" width="11.7109375" hidden="1" customWidth="1"/>
    <col min="29" max="29" style="32302" width="8.57421875" hidden="1" customWidth="1"/>
    <col min="30" max="32" style="32302" width="3.7109375" customWidth="1"/>
    <col min="33" max="33" style="32302" width="24.7109375" customWidth="1"/>
    <col min="34" max="36" style="32302" width="3.7109375" customWidth="1"/>
    <col min="37" max="37" style="32302" width="24.7109375" customWidth="1"/>
    <col min="38" max="40" style="32302" width="3.7109375" customWidth="1"/>
    <col min="41" max="41" style="32302" width="18.8515625" customWidth="1"/>
    <col min="42" max="44" style="32302" width="3.7109375" customWidth="1"/>
    <col min="45" max="45" style="32302" width="18.8515625" customWidth="1"/>
    <col min="46" max="49" style="32302" width="21.7109375" customWidth="1"/>
    <col min="50" max="50" style="32302" width="11.7109375" customWidth="1"/>
    <col min="51" max="51" style="32302" width="3.7109375" customWidth="1"/>
    <col min="52" max="52" style="32302" width="11.7109375" customWidth="1"/>
    <col min="53" max="53" style="32302" width="8.57421875" hidden="1" customWidth="1"/>
    <col min="54" max="54" style="32302" width="4.7109375" customWidth="1"/>
    <col min="55" max="55" style="32302" width="115.7109375" customWidth="1"/>
    <col min="56" max="57" style="32289" width="10.57421875"/>
    <col min="58" max="58" style="32289" width="11.140625" customWidth="1"/>
    <col min="59" max="60" style="32289" width="10.57421875"/>
  </cols>
  <sheetData>
    <row customHeight="1" ht="14.25" hidden="1">
      <c r="W1" s="688"/>
      <c r="Y1" s="688"/>
      <c r="Z1" s="688"/>
      <c r="AW1" s="688"/>
      <c r="AX1" s="688"/>
    </row>
    <row customHeight="1" ht="21" hidden="1">
      <c r="A2" s="1729"/>
      <c r="B2" s="1729"/>
      <c r="C2" s="1729"/>
      <c r="D2" s="1729"/>
      <c r="E2" s="2527">
        <v>1</v>
      </c>
      <c r="F2" s="1729"/>
      <c r="G2" s="1729"/>
      <c r="H2" s="1729"/>
      <c r="I2" s="1729"/>
      <c r="J2" s="1729"/>
      <c r="K2" s="1729"/>
      <c r="L2" s="1730"/>
      <c r="M2" s="1731"/>
      <c r="N2" s="1731"/>
      <c r="O2" s="1731"/>
      <c r="P2" s="1775"/>
      <c r="Q2" s="1234"/>
      <c r="R2" s="716"/>
      <c r="S2" s="1859">
        <f>INDEX(PT_DIFFERENTIATION_NUM_NTAR,MATCH(A2,PT_DIFFERENTIATION_NTAR_ID,0))</f>
      </c>
      <c r="T2" s="659" t="s">
        <v>131</v>
      </c>
      <c r="U2" s="661"/>
      <c r="V2" s="2522"/>
      <c r="W2" s="2522"/>
      <c r="X2" s="2522"/>
      <c r="Y2" s="2522"/>
      <c r="Z2" s="2522"/>
      <c r="AA2" s="2522"/>
      <c r="AB2" s="2522"/>
      <c r="AC2" s="2523"/>
      <c r="AD2" s="2521">
        <f>INDEX(PT_DIFFERENTIATION_NTAR,MATCH(A2,PT_DIFFERENTIATION_NTAR_ID,0))</f>
      </c>
      <c r="AE2" s="2522"/>
      <c r="AF2" s="2522"/>
      <c r="AG2" s="2522"/>
      <c r="AH2" s="2522"/>
      <c r="AI2" s="2522"/>
      <c r="AJ2" s="2522"/>
      <c r="AK2" s="2522"/>
      <c r="AL2" s="2522"/>
      <c r="AM2" s="2522"/>
      <c r="AN2" s="2522"/>
      <c r="AO2" s="2522"/>
      <c r="AP2" s="2522"/>
      <c r="AQ2" s="2522"/>
      <c r="AR2" s="2522"/>
      <c r="AS2" s="2522"/>
      <c r="AT2" s="2522"/>
      <c r="AU2" s="2522"/>
      <c r="AV2" s="2522"/>
      <c r="AW2" s="2522"/>
      <c r="AX2" s="2522"/>
      <c r="AY2" s="2522"/>
      <c r="AZ2" s="2522"/>
      <c r="BA2" s="2522"/>
      <c r="BB2" s="2523"/>
      <c r="BC2"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861"/>
      <c r="BF2" s="861" t="str">
        <f>IF(T2="","",T2)</f>
        <v>Наименование тарифа</v>
      </c>
      <c r="BG2" s="861"/>
      <c r="BH2" s="861"/>
    </row>
    <row customHeight="1" ht="21" hidden="1">
      <c r="A3" s="1729"/>
      <c r="B3" s="1729"/>
      <c r="C3" s="1729"/>
      <c r="D3" s="1729"/>
      <c r="E3" s="2528"/>
      <c r="F3" s="2527">
        <v>1</v>
      </c>
      <c r="G3" s="1729"/>
      <c r="H3" s="1729"/>
      <c r="I3" s="1729"/>
      <c r="J3" s="1729"/>
      <c r="K3" s="1729"/>
      <c r="L3" s="1730"/>
      <c r="M3" s="1731"/>
      <c r="N3" s="1731"/>
      <c r="O3" s="1731"/>
      <c r="P3" s="1776"/>
      <c r="Q3" s="1777"/>
      <c r="R3" s="714"/>
      <c r="S3" s="1859">
        <f>INDEX(PT_DIFFERENTIATION_NUM_TER,MATCH(B3,PT_DIFFERENTIATION_TER_ID,0))</f>
      </c>
      <c r="T3" s="669" t="s">
        <v>438</v>
      </c>
      <c r="U3" s="661"/>
      <c r="V3" s="2522"/>
      <c r="W3" s="2522"/>
      <c r="X3" s="2522"/>
      <c r="Y3" s="2522"/>
      <c r="Z3" s="2522"/>
      <c r="AA3" s="2522"/>
      <c r="AB3" s="2522"/>
      <c r="AC3" s="2523"/>
      <c r="AD3" s="2521">
        <f>INDEX(PT_DIFFERENTIATION_TER,MATCH(B3,PT_DIFFERENTIATION_TER_ID,0))</f>
      </c>
      <c r="AE3" s="2522"/>
      <c r="AF3" s="2522"/>
      <c r="AG3" s="2522"/>
      <c r="AH3" s="2522"/>
      <c r="AI3" s="2522"/>
      <c r="AJ3" s="2522"/>
      <c r="AK3" s="2522"/>
      <c r="AL3" s="2522"/>
      <c r="AM3" s="2522"/>
      <c r="AN3" s="2522"/>
      <c r="AO3" s="2522"/>
      <c r="AP3" s="2522"/>
      <c r="AQ3" s="2522"/>
      <c r="AR3" s="2522"/>
      <c r="AS3" s="2522"/>
      <c r="AT3" s="2522"/>
      <c r="AU3" s="2522"/>
      <c r="AV3" s="2522"/>
      <c r="AW3" s="2522"/>
      <c r="AX3" s="2522"/>
      <c r="AY3" s="2522"/>
      <c r="AZ3" s="2522"/>
      <c r="BA3" s="2522"/>
      <c r="BB3" s="2523"/>
      <c r="BC3" s="1623" t="s">
        <v>439</v>
      </c>
      <c r="BE3" s="861"/>
      <c r="BF3" s="861" t="str">
        <f>IF(T3="","",T3)</f>
        <v>Территория действия тарифа</v>
      </c>
      <c r="BG3" s="861"/>
      <c r="BH3" s="861"/>
    </row>
    <row customHeight="1" ht="33.75" hidden="1">
      <c r="A4" s="1729"/>
      <c r="B4" s="1729"/>
      <c r="C4" s="1729"/>
      <c r="D4" s="1729"/>
      <c r="E4" s="2528"/>
      <c r="F4" s="2528"/>
      <c r="G4" s="2527">
        <v>1</v>
      </c>
      <c r="H4" s="1729"/>
      <c r="I4" s="1729"/>
      <c r="J4" s="1729"/>
      <c r="K4" s="1729"/>
      <c r="L4" s="1730"/>
      <c r="M4" s="1731"/>
      <c r="N4" s="1731"/>
      <c r="O4" s="1731"/>
      <c r="P4" s="1778"/>
      <c r="Q4" s="1777"/>
      <c r="R4" s="714"/>
      <c r="S4" s="1859">
        <f>INDEX(PT_DIFFERENTIATION_NUM_CS,MATCH(C4,PT_DIFFERENTIATION_CS_ID,0))</f>
      </c>
      <c r="T4" s="670" t="s">
        <v>569</v>
      </c>
      <c r="U4" s="661"/>
      <c r="V4" s="2522"/>
      <c r="W4" s="2522"/>
      <c r="X4" s="2522"/>
      <c r="Y4" s="2522"/>
      <c r="Z4" s="2522"/>
      <c r="AA4" s="2522"/>
      <c r="AB4" s="2522"/>
      <c r="AC4" s="2523"/>
      <c r="AD4" s="2521">
        <f>INDEX(PT_DIFFERENTIATION_CS,MATCH(C4,PT_DIFFERENTIATION_CS_ID,0))</f>
      </c>
      <c r="AE4" s="2522"/>
      <c r="AF4" s="2522"/>
      <c r="AG4" s="2522"/>
      <c r="AH4" s="2522"/>
      <c r="AI4" s="2522"/>
      <c r="AJ4" s="2522"/>
      <c r="AK4" s="2522"/>
      <c r="AL4" s="2522"/>
      <c r="AM4" s="2522"/>
      <c r="AN4" s="2522"/>
      <c r="AO4" s="2522"/>
      <c r="AP4" s="2522"/>
      <c r="AQ4" s="2522"/>
      <c r="AR4" s="2522"/>
      <c r="AS4" s="2522"/>
      <c r="AT4" s="2522"/>
      <c r="AU4" s="2522"/>
      <c r="AV4" s="2522"/>
      <c r="AW4" s="2522"/>
      <c r="AX4" s="2522"/>
      <c r="AY4" s="2522"/>
      <c r="AZ4" s="2522"/>
      <c r="BA4" s="2522"/>
      <c r="BB4" s="2523"/>
      <c r="BC4" s="1623" t="s">
        <v>570</v>
      </c>
      <c r="BE4" s="861"/>
      <c r="BF4" s="861" t="str">
        <f>IF(T4="","",T4)</f>
        <v>Наименование централизованной системы горячего водоснабжения</v>
      </c>
      <c r="BG4" s="861"/>
      <c r="BH4" s="861"/>
    </row>
    <row s="32289" customFormat="1" customHeight="1" ht="14.25" hidden="1">
      <c r="A5" s="1709"/>
      <c r="B5" s="1709"/>
      <c r="C5" s="1709"/>
      <c r="D5" s="1709"/>
      <c r="E5" s="2528"/>
      <c r="F5" s="2528"/>
      <c r="G5" s="2528"/>
      <c r="H5" s="2527">
        <v>1</v>
      </c>
      <c r="I5" s="1709"/>
      <c r="J5" s="1709"/>
      <c r="K5" s="1709"/>
      <c r="L5" s="1712"/>
      <c r="M5" s="1681"/>
      <c r="N5" s="1681"/>
      <c r="O5" s="1681"/>
      <c r="P5" s="1863"/>
      <c r="Q5" s="1864"/>
      <c r="R5" s="718"/>
      <c r="S5" s="1404"/>
      <c r="T5" s="1865"/>
      <c r="U5" s="1750"/>
      <c r="V5" s="2570"/>
      <c r="W5" s="2570"/>
      <c r="X5" s="2570"/>
      <c r="Y5" s="2570"/>
      <c r="Z5" s="2570"/>
      <c r="AA5" s="2570"/>
      <c r="AB5" s="2570"/>
      <c r="AC5" s="2571"/>
      <c r="AD5" s="2569"/>
      <c r="AE5" s="2570"/>
      <c r="AF5" s="2570"/>
      <c r="AG5" s="2570"/>
      <c r="AH5" s="2570"/>
      <c r="AI5" s="2570"/>
      <c r="AJ5" s="2570"/>
      <c r="AK5" s="2570"/>
      <c r="AL5" s="2570"/>
      <c r="AM5" s="2570"/>
      <c r="AN5" s="2570"/>
      <c r="AO5" s="2570"/>
      <c r="AP5" s="2570"/>
      <c r="AQ5" s="2570"/>
      <c r="AR5" s="2570"/>
      <c r="AS5" s="2570"/>
      <c r="AT5" s="2570"/>
      <c r="AU5" s="2570"/>
      <c r="AV5" s="2570"/>
      <c r="AW5" s="2570"/>
      <c r="AX5" s="2570"/>
      <c r="AY5" s="2570"/>
      <c r="AZ5" s="2570"/>
      <c r="BA5" s="2570"/>
      <c r="BB5" s="2571"/>
      <c r="BC5" s="1751" t="s">
        <v>443</v>
      </c>
      <c r="BE5" s="861"/>
      <c r="BF5" s="861" t="str">
        <f>IF(T5="","",T5)</f>
        <v/>
      </c>
      <c r="BG5" s="861"/>
      <c r="BH5" s="861"/>
    </row>
    <row s="32289" customFormat="1" customHeight="1" ht="14.25" hidden="1">
      <c r="A6" s="1709"/>
      <c r="B6" s="1709"/>
      <c r="C6" s="1709"/>
      <c r="D6" s="1709"/>
      <c r="E6" s="2528"/>
      <c r="F6" s="2528"/>
      <c r="G6" s="2528"/>
      <c r="H6" s="2528"/>
      <c r="I6" s="2529" t="str">
        <f>S5&amp;".1"</f>
        <v>.1</v>
      </c>
      <c r="J6" s="1709"/>
      <c r="K6" s="1709"/>
      <c r="L6" s="1712" t="s">
        <v>444</v>
      </c>
      <c r="M6" s="871"/>
      <c r="N6" s="871"/>
      <c r="O6" s="871"/>
      <c r="P6" s="2531">
        <v>1</v>
      </c>
      <c r="Q6" s="1847"/>
      <c r="R6" s="717"/>
      <c r="S6" s="1404"/>
      <c r="T6" s="1749"/>
      <c r="U6" s="1750"/>
      <c r="V6" s="2570"/>
      <c r="W6" s="2570"/>
      <c r="X6" s="2570"/>
      <c r="Y6" s="2570"/>
      <c r="Z6" s="2570"/>
      <c r="AA6" s="2570"/>
      <c r="AB6" s="2570"/>
      <c r="AC6" s="2571"/>
      <c r="AD6" s="2569"/>
      <c r="AE6" s="2570"/>
      <c r="AF6" s="2570"/>
      <c r="AG6" s="2570"/>
      <c r="AH6" s="2570"/>
      <c r="AI6" s="2570"/>
      <c r="AJ6" s="2570"/>
      <c r="AK6" s="2570"/>
      <c r="AL6" s="2570"/>
      <c r="AM6" s="2570"/>
      <c r="AN6" s="2570"/>
      <c r="AO6" s="2570"/>
      <c r="AP6" s="2570"/>
      <c r="AQ6" s="2570"/>
      <c r="AR6" s="2570"/>
      <c r="AS6" s="2570"/>
      <c r="AT6" s="2570"/>
      <c r="AU6" s="2570"/>
      <c r="AV6" s="2570"/>
      <c r="AW6" s="2570"/>
      <c r="AX6" s="2570"/>
      <c r="AY6" s="2570"/>
      <c r="AZ6" s="2570"/>
      <c r="BA6" s="2570"/>
      <c r="BB6" s="2571"/>
      <c r="BC6" s="1751"/>
      <c r="BE6" s="861"/>
      <c r="BF6" s="861" t="str">
        <f>IF(T6="","",T6)</f>
        <v/>
      </c>
      <c r="BG6" s="861"/>
      <c r="BH6" s="861"/>
    </row>
    <row s="32289" customFormat="1" customHeight="1" ht="14.25" hidden="1">
      <c r="A7" s="1709"/>
      <c r="B7" s="1709"/>
      <c r="C7" s="1709"/>
      <c r="D7" s="1709"/>
      <c r="E7" s="2528"/>
      <c r="F7" s="2528"/>
      <c r="G7" s="2528"/>
      <c r="H7" s="2528"/>
      <c r="I7" s="2530"/>
      <c r="J7" s="2529" t="str">
        <f>S5&amp;".1"</f>
        <v>.1</v>
      </c>
      <c r="K7" s="1709"/>
      <c r="L7" s="1712"/>
      <c r="M7" s="871"/>
      <c r="N7" s="871"/>
      <c r="O7" s="871"/>
      <c r="P7" s="2531"/>
      <c r="Q7" s="2531">
        <v>1</v>
      </c>
      <c r="R7" s="718"/>
      <c r="S7" s="1404"/>
      <c r="T7" s="1765"/>
      <c r="U7" s="1750"/>
      <c r="V7" s="2570"/>
      <c r="W7" s="2570"/>
      <c r="X7" s="2570"/>
      <c r="Y7" s="2570"/>
      <c r="Z7" s="2570"/>
      <c r="AA7" s="2570"/>
      <c r="AB7" s="2570"/>
      <c r="AC7" s="2571"/>
      <c r="AD7" s="2569"/>
      <c r="AE7" s="2570"/>
      <c r="AF7" s="2570"/>
      <c r="AG7" s="2570"/>
      <c r="AH7" s="2570"/>
      <c r="AI7" s="2570"/>
      <c r="AJ7" s="2570"/>
      <c r="AK7" s="2570"/>
      <c r="AL7" s="2570"/>
      <c r="AM7" s="2570"/>
      <c r="AN7" s="2570"/>
      <c r="AO7" s="2570"/>
      <c r="AP7" s="2570"/>
      <c r="AQ7" s="2570"/>
      <c r="AR7" s="2570"/>
      <c r="AS7" s="2570"/>
      <c r="AT7" s="2570"/>
      <c r="AU7" s="2570"/>
      <c r="AV7" s="2570"/>
      <c r="AW7" s="2570"/>
      <c r="AX7" s="2570"/>
      <c r="AY7" s="2570"/>
      <c r="AZ7" s="2570"/>
      <c r="BA7" s="2570"/>
      <c r="BB7" s="2571"/>
      <c r="BC7" s="1751"/>
      <c r="BE7" s="861"/>
      <c r="BF7" s="861" t="str">
        <f>IF(T7="","",T7)</f>
        <v/>
      </c>
      <c r="BG7" s="861"/>
      <c r="BH7" s="861"/>
    </row>
    <row customHeight="1" ht="11.25" hidden="1">
      <c r="A8" s="1729"/>
      <c r="B8" s="1729"/>
      <c r="C8" s="1729"/>
      <c r="D8" s="1729"/>
      <c r="E8" s="2528"/>
      <c r="F8" s="2528"/>
      <c r="G8" s="2528"/>
      <c r="H8" s="2528"/>
      <c r="I8" s="2530"/>
      <c r="J8" s="2530"/>
      <c r="K8" s="2529">
        <f>S4&amp;".1"</f>
      </c>
      <c r="L8" s="1730"/>
      <c r="P8" s="2531"/>
      <c r="Q8" s="2531"/>
      <c r="R8" s="2607">
        <v>1</v>
      </c>
      <c r="S8" s="2604">
        <f>$K8</f>
      </c>
      <c r="T8" s="2624"/>
      <c r="U8" s="661"/>
      <c r="V8" s="1112"/>
      <c r="W8" s="1622"/>
      <c r="X8" s="1112"/>
      <c r="Y8" s="1622"/>
      <c r="Z8" s="2100"/>
      <c r="AA8" s="1835" t="s">
        <v>66</v>
      </c>
      <c r="AB8" s="2100"/>
      <c r="AC8" s="1835" t="s">
        <v>66</v>
      </c>
      <c r="AD8" s="2465" t="s">
        <v>66</v>
      </c>
      <c r="AE8" s="2600"/>
      <c r="AF8" s="2478">
        <v>1</v>
      </c>
      <c r="AG8" s="2623"/>
      <c r="AH8" s="2402" t="s">
        <v>66</v>
      </c>
      <c r="AI8" s="2600"/>
      <c r="AJ8" s="2478">
        <v>1</v>
      </c>
      <c r="AK8" s="2622" t="s">
        <v>24</v>
      </c>
      <c r="AL8" s="2402" t="s">
        <v>66</v>
      </c>
      <c r="AM8" s="2450"/>
      <c r="AN8" s="2478">
        <v>1</v>
      </c>
      <c r="AO8" s="2627"/>
      <c r="AP8" s="2628" t="s">
        <v>66</v>
      </c>
      <c r="AQ8" s="672"/>
      <c r="AR8" s="1852">
        <v>1</v>
      </c>
      <c r="AS8" s="1858" t="s">
        <v>24</v>
      </c>
      <c r="AT8" s="1112"/>
      <c r="AU8" s="1622"/>
      <c r="AV8" s="1112"/>
      <c r="AW8" s="1622"/>
      <c r="AX8" s="2100"/>
      <c r="AY8" s="1835" t="s">
        <v>66</v>
      </c>
      <c r="AZ8" s="2100"/>
      <c r="BA8" s="1835" t="s">
        <v>66</v>
      </c>
      <c r="BB8" s="1714"/>
      <c r="BC8" s="2557" t="s">
        <v>540</v>
      </c>
      <c r="BE8" s="861"/>
      <c r="BF8" s="861" t="str">
        <f>IF(T8="","",T8)</f>
        <v/>
      </c>
      <c r="BG8" s="861"/>
      <c r="BH8" s="861"/>
    </row>
    <row customHeight="1" ht="11.25" hidden="1">
      <c r="A9" s="1729"/>
      <c r="B9" s="1729"/>
      <c r="C9" s="1729"/>
      <c r="D9" s="1729"/>
      <c r="E9" s="2528"/>
      <c r="F9" s="2528"/>
      <c r="G9" s="2528"/>
      <c r="H9" s="2528"/>
      <c r="I9" s="2530"/>
      <c r="J9" s="2530"/>
      <c r="K9" s="2529"/>
      <c r="L9" s="1730"/>
      <c r="P9" s="2531"/>
      <c r="Q9" s="2531"/>
      <c r="R9" s="2607"/>
      <c r="S9" s="2605"/>
      <c r="T9" s="2625"/>
      <c r="U9" s="661"/>
      <c r="V9" s="1759"/>
      <c r="W9" s="1862"/>
      <c r="X9" s="1759"/>
      <c r="Y9" s="1862"/>
      <c r="Z9" s="1759"/>
      <c r="AA9" s="1759"/>
      <c r="AB9" s="1759"/>
      <c r="AC9" s="1759"/>
      <c r="AD9" s="2466"/>
      <c r="AE9" s="2600"/>
      <c r="AF9" s="2478"/>
      <c r="AG9" s="2623"/>
      <c r="AH9" s="2402"/>
      <c r="AI9" s="2600"/>
      <c r="AJ9" s="2478"/>
      <c r="AK9" s="2622"/>
      <c r="AL9" s="2402"/>
      <c r="AM9" s="2458"/>
      <c r="AN9" s="2478"/>
      <c r="AO9" s="2627"/>
      <c r="AP9" s="2629"/>
      <c r="AQ9" s="677"/>
      <c r="AR9" s="777"/>
      <c r="AS9" s="777" t="s">
        <v>541</v>
      </c>
      <c r="AT9" s="1759"/>
      <c r="AU9" s="1862"/>
      <c r="AV9" s="1759"/>
      <c r="AW9" s="1862"/>
      <c r="AX9" s="1759"/>
      <c r="AY9" s="1759"/>
      <c r="AZ9" s="1759"/>
      <c r="BA9" s="1759"/>
      <c r="BB9" s="1763"/>
      <c r="BC9" s="2558"/>
      <c r="BE9" s="861"/>
      <c r="BF9" s="861"/>
      <c r="BG9" s="861"/>
      <c r="BH9" s="861"/>
    </row>
    <row customHeight="1" ht="11.25" hidden="1">
      <c r="A10" s="1729"/>
      <c r="B10" s="1729"/>
      <c r="C10" s="1729"/>
      <c r="D10" s="1729"/>
      <c r="E10" s="2528"/>
      <c r="F10" s="2528"/>
      <c r="G10" s="2528"/>
      <c r="H10" s="2528"/>
      <c r="I10" s="2530"/>
      <c r="J10" s="2530"/>
      <c r="K10" s="2529"/>
      <c r="L10" s="1730"/>
      <c r="P10" s="2531"/>
      <c r="Q10" s="2531"/>
      <c r="R10" s="2607"/>
      <c r="S10" s="2605"/>
      <c r="T10" s="2625"/>
      <c r="U10" s="661"/>
      <c r="V10" s="1759"/>
      <c r="W10" s="1862"/>
      <c r="X10" s="1759"/>
      <c r="Y10" s="1862"/>
      <c r="Z10" s="1759"/>
      <c r="AA10" s="1759"/>
      <c r="AB10" s="1759"/>
      <c r="AC10" s="1759"/>
      <c r="AD10" s="2466"/>
      <c r="AE10" s="2600"/>
      <c r="AF10" s="2478"/>
      <c r="AG10" s="2623"/>
      <c r="AH10" s="2402"/>
      <c r="AI10" s="2600"/>
      <c r="AJ10" s="2478"/>
      <c r="AK10" s="2622"/>
      <c r="AL10" s="2402"/>
      <c r="AM10" s="677"/>
      <c r="AN10" s="1866"/>
      <c r="AO10" s="1866" t="s">
        <v>542</v>
      </c>
      <c r="AP10" s="777"/>
      <c r="AQ10" s="777"/>
      <c r="AR10" s="777"/>
      <c r="AS10" s="1759"/>
      <c r="AT10" s="1759"/>
      <c r="AU10" s="1862"/>
      <c r="AV10" s="1759"/>
      <c r="AW10" s="1862"/>
      <c r="AX10" s="1759"/>
      <c r="AY10" s="1759"/>
      <c r="AZ10" s="1759"/>
      <c r="BA10" s="1759"/>
      <c r="BB10" s="1763"/>
      <c r="BC10" s="2558"/>
      <c r="BE10" s="861"/>
      <c r="BF10" s="861"/>
      <c r="BG10" s="861"/>
      <c r="BH10" s="861"/>
    </row>
    <row customHeight="1" ht="11.25" hidden="1">
      <c r="A11" s="1729"/>
      <c r="B11" s="1729"/>
      <c r="C11" s="1729"/>
      <c r="D11" s="1729"/>
      <c r="E11" s="2528"/>
      <c r="F11" s="2528"/>
      <c r="G11" s="2528"/>
      <c r="H11" s="2528"/>
      <c r="I11" s="2530"/>
      <c r="J11" s="2530"/>
      <c r="K11" s="2529"/>
      <c r="L11" s="1730"/>
      <c r="P11" s="2531"/>
      <c r="Q11" s="2531"/>
      <c r="R11" s="2607"/>
      <c r="S11" s="2605"/>
      <c r="T11" s="2625"/>
      <c r="U11" s="661"/>
      <c r="V11" s="1759"/>
      <c r="W11" s="1862"/>
      <c r="X11" s="1759"/>
      <c r="Y11" s="1862"/>
      <c r="Z11" s="1759"/>
      <c r="AA11" s="1759"/>
      <c r="AB11" s="1759"/>
      <c r="AC11" s="1759"/>
      <c r="AD11" s="2466"/>
      <c r="AE11" s="2600"/>
      <c r="AF11" s="2478"/>
      <c r="AG11" s="2623"/>
      <c r="AH11" s="2402"/>
      <c r="AI11" s="655"/>
      <c r="AJ11" s="776"/>
      <c r="AK11" s="674" t="s">
        <v>543</v>
      </c>
      <c r="AL11" s="1759"/>
      <c r="AM11" s="1759"/>
      <c r="AN11" s="1759"/>
      <c r="AO11" s="1759"/>
      <c r="AP11" s="1759"/>
      <c r="AQ11" s="1759"/>
      <c r="AR11" s="1759"/>
      <c r="AS11" s="1759"/>
      <c r="AT11" s="1759"/>
      <c r="AU11" s="1862"/>
      <c r="AV11" s="1759"/>
      <c r="AW11" s="1862"/>
      <c r="AX11" s="1759"/>
      <c r="AY11" s="1759"/>
      <c r="AZ11" s="1759"/>
      <c r="BA11" s="1759"/>
      <c r="BB11" s="1763"/>
      <c r="BC11" s="2558"/>
      <c r="BE11" s="861"/>
      <c r="BF11" s="861"/>
      <c r="BG11" s="861"/>
      <c r="BH11" s="861"/>
    </row>
    <row customHeight="1" ht="11.25" hidden="1">
      <c r="A12" s="1729"/>
      <c r="B12" s="1729"/>
      <c r="C12" s="1729"/>
      <c r="D12" s="1729"/>
      <c r="E12" s="2528"/>
      <c r="F12" s="2528"/>
      <c r="G12" s="2528"/>
      <c r="H12" s="2528"/>
      <c r="I12" s="2530"/>
      <c r="J12" s="2530"/>
      <c r="K12" s="2529"/>
      <c r="L12" s="1730"/>
      <c r="P12" s="2531"/>
      <c r="Q12" s="2531"/>
      <c r="R12" s="2607"/>
      <c r="S12" s="2606"/>
      <c r="T12" s="2626"/>
      <c r="U12" s="661"/>
      <c r="V12" s="1759"/>
      <c r="W12" s="1760" t="str">
        <f>Z8&amp;"-"&amp;AB8</f>
        <v>-</v>
      </c>
      <c r="X12" s="1759"/>
      <c r="Y12" s="1760" t="str">
        <f>AB8&amp;"-"&amp;AD8</f>
        <v>-да</v>
      </c>
      <c r="Z12" s="1759"/>
      <c r="AA12" s="1759"/>
      <c r="AB12" s="1759"/>
      <c r="AC12" s="1759"/>
      <c r="AD12" s="2407"/>
      <c r="AE12" s="673"/>
      <c r="AF12" s="675"/>
      <c r="AG12" s="777" t="s">
        <v>544</v>
      </c>
      <c r="AH12" s="1759"/>
      <c r="AI12" s="1759"/>
      <c r="AJ12" s="1759"/>
      <c r="AK12" s="1759"/>
      <c r="AL12" s="1759"/>
      <c r="AM12" s="1759"/>
      <c r="AN12" s="1759"/>
      <c r="AO12" s="1759"/>
      <c r="AP12" s="1759"/>
      <c r="AQ12" s="1759"/>
      <c r="AR12" s="1759"/>
      <c r="AS12" s="1759"/>
      <c r="AT12" s="1759"/>
      <c r="AU12" s="1760" t="str">
        <f>AX8&amp;"-"&amp;AZ8</f>
        <v>-</v>
      </c>
      <c r="AV12" s="1759"/>
      <c r="AW12" s="1760" t="str">
        <f>AZ8&amp;"-"&amp;BB8</f>
        <v>-</v>
      </c>
      <c r="AX12" s="1759"/>
      <c r="AY12" s="1759"/>
      <c r="AZ12" s="1759"/>
      <c r="BA12" s="1759"/>
      <c r="BB12" s="1762" t="str">
        <f>BE8&amp;"-"&amp;BG8</f>
        <v>-</v>
      </c>
      <c r="BC12" s="2558"/>
      <c r="BE12" s="861"/>
      <c r="BF12" s="861" t="str">
        <f>IF(T12="","",T12)</f>
        <v/>
      </c>
      <c r="BG12" s="861"/>
      <c r="BH12" s="861"/>
    </row>
    <row customHeight="1" ht="11.25" hidden="1">
      <c r="A13" s="1729"/>
      <c r="B13" s="1729"/>
      <c r="C13" s="1729"/>
      <c r="D13" s="1729"/>
      <c r="E13" s="2528"/>
      <c r="F13" s="2528"/>
      <c r="G13" s="2528"/>
      <c r="H13" s="2528"/>
      <c r="I13" s="2530"/>
      <c r="J13" s="2529"/>
      <c r="K13" s="1729"/>
      <c r="L13" s="1730"/>
      <c r="P13" s="2531"/>
      <c r="Q13" s="2531"/>
      <c r="R13" s="717"/>
      <c r="S13" s="1644"/>
      <c r="T13" s="648" t="s">
        <v>506</v>
      </c>
      <c r="U13" s="728"/>
      <c r="V13" s="728"/>
      <c r="W13" s="728"/>
      <c r="X13" s="728"/>
      <c r="Y13" s="728"/>
      <c r="Z13" s="728"/>
      <c r="AA13" s="728"/>
      <c r="AB13" s="728"/>
      <c r="AC13" s="728"/>
      <c r="AD13" s="1871"/>
      <c r="AE13" s="728"/>
      <c r="AF13" s="728"/>
      <c r="AG13" s="728"/>
      <c r="AH13" s="728"/>
      <c r="AI13" s="728"/>
      <c r="AJ13" s="728"/>
      <c r="AK13" s="728"/>
      <c r="AL13" s="728"/>
      <c r="AM13" s="728"/>
      <c r="AN13" s="728"/>
      <c r="AO13" s="728"/>
      <c r="AP13" s="728"/>
      <c r="AQ13" s="728"/>
      <c r="AR13" s="728"/>
      <c r="AS13" s="728"/>
      <c r="AT13" s="728"/>
      <c r="AU13" s="728"/>
      <c r="AV13" s="728"/>
      <c r="AW13" s="728"/>
      <c r="AX13" s="728"/>
      <c r="AY13" s="728"/>
      <c r="AZ13" s="728"/>
      <c r="BA13" s="728"/>
      <c r="BB13" s="685"/>
      <c r="BC13" s="2559"/>
      <c r="BE13" s="861"/>
      <c r="BF13" s="861" t="str">
        <f>IF(T13="","",T13)</f>
        <v>Добавить строку</v>
      </c>
      <c r="BG13" s="861"/>
      <c r="BH13" s="861"/>
    </row>
    <row s="32289" customFormat="1" customHeight="1" ht="14.25" hidden="1">
      <c r="A14" s="1709"/>
      <c r="B14" s="1709"/>
      <c r="C14" s="1709"/>
      <c r="D14" s="1709"/>
      <c r="E14" s="2528"/>
      <c r="F14" s="2528"/>
      <c r="G14" s="2528"/>
      <c r="H14" s="2528"/>
      <c r="I14" s="2529"/>
      <c r="J14" s="1709"/>
      <c r="K14" s="1709"/>
      <c r="L14" s="1712"/>
      <c r="M14" s="871"/>
      <c r="N14" s="871"/>
      <c r="O14" s="871"/>
      <c r="P14" s="2531"/>
      <c r="Q14" s="1847"/>
      <c r="R14" s="717"/>
      <c r="S14" s="1752"/>
      <c r="T14" s="1753"/>
      <c r="U14" s="1754"/>
      <c r="V14" s="1754"/>
      <c r="W14" s="1754"/>
      <c r="X14" s="1754"/>
      <c r="Y14" s="1754"/>
      <c r="Z14" s="1754"/>
      <c r="AA14" s="1754"/>
      <c r="AB14" s="1754"/>
      <c r="AC14" s="1754"/>
      <c r="AD14" s="1754"/>
      <c r="AE14" s="1754"/>
      <c r="AF14" s="1754"/>
      <c r="AG14" s="1754"/>
      <c r="AH14" s="1754"/>
      <c r="AI14" s="1754"/>
      <c r="AJ14" s="1754"/>
      <c r="AK14" s="1754"/>
      <c r="AL14" s="1754"/>
      <c r="AM14" s="1754"/>
      <c r="AN14" s="1754"/>
      <c r="AO14" s="1754"/>
      <c r="AP14" s="1754"/>
      <c r="AQ14" s="1754"/>
      <c r="AR14" s="1754"/>
      <c r="AS14" s="1754"/>
      <c r="AT14" s="1754"/>
      <c r="AU14" s="1754"/>
      <c r="AV14" s="1754"/>
      <c r="AW14" s="1754"/>
      <c r="AX14" s="1754"/>
      <c r="AY14" s="1754"/>
      <c r="AZ14" s="1754"/>
      <c r="BA14" s="1754"/>
      <c r="BB14" s="1754"/>
      <c r="BC14" s="1755"/>
      <c r="BE14" s="861"/>
      <c r="BF14" s="861" t="str">
        <f>IF(T14="","",T14)</f>
        <v/>
      </c>
      <c r="BG14" s="861"/>
      <c r="BH14" s="861"/>
    </row>
    <row s="32289" customFormat="1" customHeight="1" ht="14.25" hidden="1">
      <c r="A15" s="1709"/>
      <c r="B15" s="1709"/>
      <c r="C15" s="1709"/>
      <c r="D15" s="1709"/>
      <c r="E15" s="2528"/>
      <c r="F15" s="2528"/>
      <c r="G15" s="2528"/>
      <c r="H15" s="2527"/>
      <c r="I15" s="1709"/>
      <c r="J15" s="1709"/>
      <c r="K15" s="1709"/>
      <c r="L15" s="1712"/>
      <c r="M15" s="1681"/>
      <c r="N15" s="1681"/>
      <c r="O15" s="879"/>
      <c r="P15" s="741"/>
      <c r="Q15" s="1710"/>
      <c r="R15" s="1767"/>
      <c r="S15" s="1752"/>
      <c r="T15" s="1753"/>
      <c r="U15" s="1754"/>
      <c r="V15" s="1754"/>
      <c r="W15" s="1754"/>
      <c r="X15" s="1754"/>
      <c r="Y15" s="1754"/>
      <c r="Z15" s="1754"/>
      <c r="AA15" s="1754"/>
      <c r="AB15" s="1754"/>
      <c r="AC15" s="1754"/>
      <c r="AD15" s="1754"/>
      <c r="AE15" s="1754"/>
      <c r="AF15" s="1754"/>
      <c r="AG15" s="1754"/>
      <c r="AH15" s="1754"/>
      <c r="AI15" s="1754"/>
      <c r="AJ15" s="1754"/>
      <c r="AK15" s="1754"/>
      <c r="AL15" s="1754"/>
      <c r="AM15" s="1754"/>
      <c r="AN15" s="1754"/>
      <c r="AO15" s="1754"/>
      <c r="AP15" s="1754"/>
      <c r="AQ15" s="1754"/>
      <c r="AR15" s="1754"/>
      <c r="AS15" s="1754"/>
      <c r="AT15" s="1754"/>
      <c r="AU15" s="1754"/>
      <c r="AV15" s="1754"/>
      <c r="AW15" s="1754"/>
      <c r="AX15" s="1754"/>
      <c r="AY15" s="1754"/>
      <c r="AZ15" s="1754"/>
      <c r="BA15" s="1754"/>
      <c r="BB15" s="1754"/>
      <c r="BC15" s="1755"/>
      <c r="BE15" s="861"/>
      <c r="BF15" s="861" t="str">
        <f>IF(T15="","",T15)</f>
        <v/>
      </c>
      <c r="BG15" s="861"/>
      <c r="BH15" s="861"/>
    </row>
    <row s="32198" customFormat="1" customHeight="1" ht="14.25" hidden="1">
      <c r="A16" s="1709"/>
      <c r="B16" s="1709"/>
      <c r="C16" s="1709"/>
      <c r="D16" s="1680"/>
      <c r="E16" s="2528"/>
      <c r="F16" s="2528"/>
      <c r="G16" s="2527"/>
      <c r="H16" s="1680"/>
      <c r="I16" s="1680"/>
      <c r="J16" s="1680"/>
      <c r="K16" s="1680"/>
      <c r="L16" s="1860"/>
      <c r="M16" s="1681"/>
      <c r="N16" s="1681"/>
      <c r="P16" s="1682"/>
      <c r="Q16" s="1683"/>
      <c r="R16" s="1682"/>
      <c r="S16" s="1688"/>
      <c r="T16" s="1691"/>
      <c r="U16" s="1690"/>
      <c r="V16" s="1690"/>
      <c r="W16" s="1690"/>
      <c r="X16" s="1690"/>
      <c r="Y16" s="1690"/>
      <c r="Z16" s="1690"/>
      <c r="AA16" s="1690"/>
      <c r="AB16" s="1690"/>
      <c r="AC16" s="1690"/>
      <c r="AD16" s="1690"/>
      <c r="AE16" s="1690"/>
      <c r="AF16" s="1690"/>
      <c r="AG16" s="1690"/>
      <c r="AH16" s="1690"/>
      <c r="AI16" s="1690"/>
      <c r="AJ16" s="1690"/>
      <c r="AK16" s="1690"/>
      <c r="AL16" s="1690"/>
      <c r="AM16" s="1690"/>
      <c r="AN16" s="1690"/>
      <c r="AO16" s="1690"/>
      <c r="AP16" s="1690"/>
      <c r="AQ16" s="1690"/>
      <c r="AR16" s="1690"/>
      <c r="AS16" s="1690"/>
      <c r="AT16" s="1690"/>
      <c r="AU16" s="1690"/>
      <c r="AV16" s="1690"/>
      <c r="AW16" s="1690"/>
      <c r="AX16" s="1690"/>
      <c r="AY16" s="1690"/>
      <c r="AZ16" s="1690"/>
      <c r="BA16" s="1690"/>
      <c r="BB16" s="1690"/>
      <c r="BC16" s="1690"/>
      <c r="BE16" s="1150"/>
      <c r="BF16" s="1150" t="str">
        <f>IF(T16="","",T16)</f>
        <v/>
      </c>
      <c r="BG16" s="1150"/>
      <c r="BH16" s="1150"/>
    </row>
    <row s="32198" customFormat="1" customHeight="1" ht="14.25" hidden="1">
      <c r="A17" s="1709"/>
      <c r="B17" s="1709"/>
      <c r="C17" s="1680"/>
      <c r="D17" s="1680"/>
      <c r="E17" s="2528"/>
      <c r="F17" s="2527"/>
      <c r="G17" s="1680"/>
      <c r="H17" s="1680"/>
      <c r="I17" s="1680"/>
      <c r="J17" s="1680"/>
      <c r="K17" s="1680"/>
      <c r="L17" s="1860"/>
      <c r="M17" s="1687"/>
      <c r="N17" s="1687"/>
      <c r="P17" s="1682"/>
      <c r="Q17" s="1683"/>
      <c r="R17" s="1682"/>
      <c r="S17" s="1688"/>
      <c r="T17" s="1691" t="s">
        <v>262</v>
      </c>
      <c r="U17" s="1690"/>
      <c r="V17" s="1690"/>
      <c r="W17" s="1690"/>
      <c r="X17" s="1690"/>
      <c r="Y17" s="1690"/>
      <c r="Z17" s="1690"/>
      <c r="AA17" s="1690"/>
      <c r="AB17" s="1690"/>
      <c r="AC17" s="1690"/>
      <c r="AD17" s="1690"/>
      <c r="AE17" s="1690"/>
      <c r="AF17" s="1690"/>
      <c r="AG17" s="1690"/>
      <c r="AH17" s="1690"/>
      <c r="AI17" s="1690"/>
      <c r="AJ17" s="1690"/>
      <c r="AK17" s="1690"/>
      <c r="AL17" s="1690"/>
      <c r="AM17" s="1690"/>
      <c r="AN17" s="1690"/>
      <c r="AO17" s="1690"/>
      <c r="AP17" s="1690"/>
      <c r="AQ17" s="1690"/>
      <c r="AR17" s="1690"/>
      <c r="AS17" s="1690"/>
      <c r="AT17" s="1690"/>
      <c r="AU17" s="1690"/>
      <c r="AV17" s="1690"/>
      <c r="AW17" s="1690"/>
      <c r="AX17" s="1690"/>
      <c r="AY17" s="1690"/>
      <c r="AZ17" s="1690"/>
      <c r="BA17" s="1690"/>
      <c r="BB17" s="1690"/>
      <c r="BC17" s="1690"/>
      <c r="BE17" s="1150"/>
      <c r="BF17" s="1150" t="str">
        <f>IF(T17="","",T17)</f>
        <v>Добавить централизованную систему для дифференциации</v>
      </c>
      <c r="BG17" s="1150"/>
      <c r="BH17" s="1150"/>
    </row>
    <row s="32289" customFormat="1" customHeight="1" ht="14.25" hidden="1">
      <c r="A18" s="1709"/>
      <c r="B18" s="1709"/>
      <c r="C18" s="1709"/>
      <c r="D18" s="1709"/>
      <c r="E18" s="2527"/>
      <c r="F18" s="1709"/>
      <c r="G18" s="1709"/>
      <c r="H18" s="1709"/>
      <c r="I18" s="1709"/>
      <c r="J18" s="1709"/>
      <c r="K18" s="1709"/>
      <c r="L18" s="1712"/>
      <c r="M18" s="1687"/>
      <c r="N18" s="1687"/>
      <c r="O18" s="879"/>
      <c r="P18" s="741"/>
      <c r="Q18" s="1710"/>
      <c r="R18" s="741"/>
      <c r="S18" s="1688"/>
      <c r="T18" s="1691" t="s">
        <v>270</v>
      </c>
      <c r="U18" s="1690"/>
      <c r="V18" s="1690"/>
      <c r="W18" s="1690"/>
      <c r="X18" s="1690"/>
      <c r="Y18" s="1690"/>
      <c r="Z18" s="1690"/>
      <c r="AA18" s="1690"/>
      <c r="AB18" s="1690"/>
      <c r="AC18" s="1690"/>
      <c r="AD18" s="1690"/>
      <c r="AE18" s="1690"/>
      <c r="AF18" s="1690"/>
      <c r="AG18" s="1690"/>
      <c r="AH18" s="1690"/>
      <c r="AI18" s="1690"/>
      <c r="AJ18" s="1690"/>
      <c r="AK18" s="1690"/>
      <c r="AL18" s="1690"/>
      <c r="AM18" s="1690"/>
      <c r="AN18" s="1690"/>
      <c r="AO18" s="1690"/>
      <c r="AP18" s="1690"/>
      <c r="AQ18" s="1690"/>
      <c r="AR18" s="1690"/>
      <c r="AS18" s="1690"/>
      <c r="AT18" s="1690"/>
      <c r="AU18" s="1690"/>
      <c r="AV18" s="1690"/>
      <c r="AW18" s="1690"/>
      <c r="AX18" s="1690"/>
      <c r="AY18" s="1690"/>
      <c r="AZ18" s="1690"/>
      <c r="BA18" s="1690"/>
      <c r="BB18" s="1690"/>
      <c r="BC18" s="1690"/>
      <c r="BE18" s="861"/>
      <c r="BF18" s="861" t="str">
        <f>IF(T18="","",T18)</f>
        <v>Добавить территорию для дифференциации</v>
      </c>
      <c r="BG18" s="861"/>
      <c r="BH18" s="861"/>
    </row>
    <row customHeight="1" ht="14.25" hidden="1">
      <c r="AC19" s="688"/>
      <c r="BA19" s="688"/>
    </row>
    <row customHeight="1" ht="14.25" hidden="1">
      <c r="AD20" s="1690" t="s">
        <v>56</v>
      </c>
      <c r="AE20" s="1867"/>
      <c r="AF20" s="909">
        <v>1</v>
      </c>
      <c r="AG20" s="1868"/>
      <c r="AH20" s="1690" t="s">
        <v>56</v>
      </c>
      <c r="AI20" s="1867"/>
      <c r="AJ20" s="909">
        <v>1</v>
      </c>
      <c r="AK20" s="1868"/>
      <c r="AL20" s="1690" t="s">
        <v>56</v>
      </c>
      <c r="AM20" s="1869"/>
      <c r="AN20" s="909">
        <v>1</v>
      </c>
      <c r="AO20" s="1870"/>
      <c r="AP20" s="1690" t="s">
        <v>56</v>
      </c>
      <c r="AQ20" s="1869"/>
      <c r="AR20" s="909">
        <v>1</v>
      </c>
      <c r="AS20" s="1870"/>
      <c r="AT20" s="686"/>
      <c r="AU20" s="745"/>
      <c r="AV20" s="686"/>
      <c r="AW20" s="745"/>
      <c r="AX20" s="2102"/>
      <c r="AY20" s="1851" t="s">
        <v>66</v>
      </c>
      <c r="AZ20" s="2102"/>
      <c r="BA20" s="1851" t="s">
        <v>66</v>
      </c>
    </row>
    <row customHeight="1" ht="14.25" hidden="1">
      <c r="BD21" s="857"/>
      <c r="BE21" s="857"/>
      <c r="BF21" s="857"/>
      <c r="BG21" s="857"/>
      <c r="BH21" s="857"/>
    </row>
    <row customHeight="1" ht="14.25" hidden="1">
      <c r="O22" s="1733" t="s">
        <v>456</v>
      </c>
      <c r="Z22" s="1711"/>
      <c r="AB22" s="1711"/>
      <c r="AC22" s="688"/>
      <c r="AX22" s="1711"/>
      <c r="AZ22" s="1711"/>
      <c r="BA22" s="688"/>
      <c r="BD22" s="857"/>
      <c r="BE22" s="857"/>
      <c r="BF22" s="857"/>
      <c r="BG22" s="857"/>
      <c r="BH22" s="857"/>
    </row>
    <row customHeight="1" ht="14.25" hidden="1">
      <c r="AC23" s="688"/>
      <c r="BA23" s="688"/>
      <c r="BD23" s="857"/>
      <c r="BE23" s="857"/>
      <c r="BF23" s="857"/>
      <c r="BG23" s="857"/>
      <c r="BH23" s="857"/>
    </row>
    <row s="32444" customFormat="1" customHeight="1" ht="14.25" hidden="1">
      <c r="M24" s="1874"/>
      <c r="N24" s="1874"/>
      <c r="O24" s="1875" t="s">
        <v>457</v>
      </c>
      <c r="P24" s="1874"/>
      <c r="Q24" s="1876"/>
      <c r="R24" s="1876"/>
      <c r="AA24" s="1873" t="s">
        <v>459</v>
      </c>
      <c r="AC24" s="1873" t="s">
        <v>460</v>
      </c>
      <c r="AD24" s="1873" t="s">
        <v>507</v>
      </c>
      <c r="AH24" s="1873" t="s">
        <v>507</v>
      </c>
      <c r="AK24" s="1873" t="s">
        <v>545</v>
      </c>
      <c r="AL24" s="1873" t="s">
        <v>507</v>
      </c>
      <c r="AP24" s="1873" t="s">
        <v>507</v>
      </c>
      <c r="AY24" s="1873" t="s">
        <v>459</v>
      </c>
      <c r="BA24" s="1873" t="s">
        <v>460</v>
      </c>
      <c r="BD24" s="1877"/>
      <c r="BE24" s="1877"/>
      <c r="BF24" s="1877"/>
      <c r="BG24" s="1877"/>
      <c r="BH24" s="1877"/>
    </row>
    <row customHeight="1" ht="14.25" hidden="1">
      <c r="O25" s="1730"/>
      <c r="BD25" s="857"/>
      <c r="BE25" s="857"/>
      <c r="BF25" s="857"/>
      <c r="BG25" s="857"/>
      <c r="BH25" s="857"/>
    </row>
    <row customHeight="1" ht="14.25" hidden="1">
      <c r="O26" s="1730"/>
      <c r="BD26" s="857"/>
      <c r="BE26" s="857"/>
      <c r="BF26" s="857"/>
      <c r="BG26" s="857"/>
      <c r="BH26" s="857"/>
    </row>
    <row customHeight="1" ht="14.25">
      <c r="Q27" s="652"/>
      <c r="R27" s="737"/>
      <c r="S27" s="1641"/>
      <c r="T27" s="724"/>
      <c r="U27" s="724"/>
      <c r="V27" s="870"/>
      <c r="W27" s="870"/>
      <c r="X27" s="870"/>
      <c r="Y27" s="870"/>
      <c r="Z27" s="870"/>
      <c r="AA27" s="870"/>
      <c r="AB27" s="870"/>
      <c r="AC27" s="870"/>
      <c r="AD27" s="870"/>
      <c r="AE27" s="870"/>
      <c r="AF27" s="870"/>
      <c r="AG27" s="870"/>
      <c r="AH27" s="870"/>
      <c r="AI27" s="870"/>
      <c r="AJ27" s="870"/>
      <c r="AK27" s="870"/>
      <c r="AL27" s="870"/>
      <c r="AM27" s="870"/>
      <c r="AN27" s="870"/>
      <c r="AO27" s="870"/>
      <c r="AP27" s="870"/>
      <c r="AQ27" s="870"/>
      <c r="AR27" s="870"/>
      <c r="AS27" s="870"/>
      <c r="AT27" s="870"/>
      <c r="AU27" s="870"/>
      <c r="AV27" s="870"/>
      <c r="AW27" s="870"/>
      <c r="AX27" s="870"/>
      <c r="AY27" s="870"/>
      <c r="AZ27" s="870"/>
      <c r="BA27" s="870"/>
    </row>
    <row customHeight="1" ht="14.25">
      <c r="Q28" s="652"/>
      <c r="R28" s="737"/>
      <c r="S28" s="256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560"/>
      <c r="U28" s="2560"/>
      <c r="V28" s="2560"/>
      <c r="W28" s="2560"/>
      <c r="X28" s="2560"/>
      <c r="Y28" s="2560"/>
      <c r="Z28" s="2560"/>
      <c r="AA28" s="2560"/>
      <c r="AB28" s="2560"/>
      <c r="AC28" s="2560"/>
      <c r="AD28" s="2560"/>
      <c r="AE28" s="2560"/>
      <c r="AF28" s="2560"/>
      <c r="AG28" s="2560"/>
      <c r="AH28" s="2560"/>
      <c r="AI28" s="2560"/>
      <c r="AJ28" s="2560"/>
      <c r="AK28" s="2560"/>
      <c r="AL28" s="2560"/>
      <c r="AM28" s="2560"/>
      <c r="AN28" s="2560"/>
      <c r="AO28" s="2560"/>
      <c r="AP28" s="2560"/>
      <c r="AQ28" s="2560"/>
      <c r="AR28" s="2560"/>
      <c r="AS28" s="2560"/>
      <c r="AT28" s="2560"/>
      <c r="AU28" s="2560"/>
      <c r="AV28" s="2560"/>
      <c r="AW28" s="2560"/>
      <c r="AX28" s="2560"/>
      <c r="AY28" s="2560"/>
      <c r="AZ28" s="2560"/>
      <c r="BA28" s="1608"/>
    </row>
    <row customHeight="1" ht="14.25">
      <c r="Q29" s="652"/>
      <c r="R29" s="737"/>
      <c r="S29" s="2561" t="str">
        <f>IF(org=0,"Не определено",org)</f>
        <v>АО "Мурманэнергосбыт"</v>
      </c>
      <c r="T29" s="2561"/>
      <c r="U29" s="2561"/>
      <c r="V29" s="2561"/>
      <c r="W29" s="2561"/>
      <c r="X29" s="2561"/>
      <c r="Y29" s="2561"/>
      <c r="Z29" s="2561"/>
      <c r="AA29" s="2561"/>
      <c r="AB29" s="2561"/>
      <c r="AC29" s="2561"/>
      <c r="AD29" s="2561"/>
      <c r="AE29" s="2561"/>
      <c r="AF29" s="2561"/>
      <c r="AG29" s="2561"/>
      <c r="AH29" s="2561"/>
      <c r="AI29" s="2561"/>
      <c r="AJ29" s="2561"/>
      <c r="AK29" s="2561"/>
      <c r="AL29" s="2561"/>
      <c r="AM29" s="2561"/>
      <c r="AN29" s="2561"/>
      <c r="AO29" s="2561"/>
      <c r="AP29" s="2561"/>
      <c r="AQ29" s="2561"/>
      <c r="AR29" s="2561"/>
      <c r="AS29" s="2561"/>
      <c r="AT29" s="2561"/>
      <c r="AU29" s="2561"/>
      <c r="AV29" s="2561"/>
      <c r="AW29" s="2561"/>
      <c r="AX29" s="2561"/>
      <c r="AY29" s="2561"/>
      <c r="AZ29" s="2561"/>
      <c r="BA29" s="1608"/>
    </row>
    <row customHeight="1" ht="14.25">
      <c r="Q30" s="652"/>
      <c r="R30" s="737"/>
      <c r="S30" s="1641"/>
      <c r="T30" s="724"/>
      <c r="U30" s="724"/>
      <c r="V30" s="683"/>
      <c r="W30" s="683"/>
      <c r="X30" s="683"/>
      <c r="Y30" s="683"/>
      <c r="Z30" s="683"/>
      <c r="AA30" s="683"/>
      <c r="AB30" s="683"/>
      <c r="AC30" s="683"/>
      <c r="AD30" s="683"/>
      <c r="AE30" s="683"/>
      <c r="AF30" s="683"/>
      <c r="AG30" s="683"/>
      <c r="AH30" s="683"/>
      <c r="AI30" s="683"/>
      <c r="AJ30" s="683"/>
      <c r="AK30" s="683"/>
      <c r="AL30" s="683"/>
      <c r="AM30" s="683"/>
      <c r="AN30" s="683"/>
      <c r="AO30" s="683"/>
      <c r="AP30" s="683"/>
      <c r="AQ30" s="683"/>
      <c r="AR30" s="683"/>
      <c r="AS30" s="683"/>
      <c r="AT30" s="683"/>
      <c r="AU30" s="683"/>
      <c r="AV30" s="683"/>
      <c r="AW30" s="683"/>
      <c r="AX30" s="683"/>
      <c r="AY30" s="683"/>
      <c r="AZ30" s="683"/>
      <c r="BA30" s="683"/>
      <c r="BB30" s="870"/>
    </row>
    <row s="32230" customFormat="1" customHeight="1" ht="25.5">
      <c r="A31" s="1734"/>
      <c r="B31" s="1734"/>
      <c r="C31" s="1734"/>
      <c r="D31" s="1734"/>
      <c r="E31" s="1734"/>
      <c r="F31" s="1734"/>
      <c r="G31" s="1734"/>
      <c r="H31" s="1734"/>
      <c r="I31" s="1734"/>
      <c r="J31" s="1734"/>
      <c r="K31" s="1734"/>
      <c r="L31" s="1735"/>
      <c r="M31" s="1734"/>
      <c r="N31" s="1734"/>
      <c r="O31" s="1734"/>
      <c r="P31" s="1734"/>
      <c r="Q31" s="1734"/>
      <c r="S31" s="2518" t="s">
        <v>38</v>
      </c>
      <c r="T31" s="2518"/>
      <c r="U31" s="1738"/>
      <c r="V31" s="2520" t="str">
        <f>IF(TITLE_NAME_OR_PR_CHANGE="",IF(TITLE_NAME_OR_PR="","",TITLE_NAME_OR_PR),TITLE_NAME_OR_PR_CHANGE)</f>
        <v>Комитет по тарифному регулированию Мурманской области</v>
      </c>
      <c r="W31" s="2520"/>
      <c r="X31" s="2520"/>
      <c r="Y31" s="2520"/>
      <c r="Z31" s="2520"/>
      <c r="AA31" s="2520"/>
      <c r="AB31" s="2520"/>
      <c r="AC31" s="687"/>
      <c r="AD31" s="2520" t="str">
        <f>IF(TITLE_NAME_OR_PR_CHANGE="",IF(TITLE_NAME_OR_PR="","",TITLE_NAME_OR_PR),TITLE_NAME_OR_PR_CHANGE)</f>
        <v>Комитет по тарифному регулированию Мурманской области</v>
      </c>
      <c r="AE31" s="2520"/>
      <c r="AF31" s="2520"/>
      <c r="AG31" s="2520"/>
      <c r="AH31" s="2520"/>
      <c r="AI31" s="2520"/>
      <c r="AJ31" s="2520"/>
      <c r="AK31" s="2520"/>
      <c r="AL31" s="2520"/>
      <c r="AM31" s="2520"/>
      <c r="AN31" s="2520"/>
      <c r="AO31" s="2520"/>
      <c r="AP31" s="2520"/>
      <c r="AQ31" s="2520"/>
      <c r="AR31" s="2520"/>
      <c r="AS31" s="2520"/>
      <c r="AT31" s="2520"/>
      <c r="AU31" s="2520"/>
      <c r="AV31" s="2520"/>
      <c r="AW31" s="2520"/>
      <c r="AX31" s="2520"/>
      <c r="AY31" s="2520"/>
      <c r="AZ31" s="2520"/>
      <c r="BA31" s="687"/>
      <c r="BB31" s="687"/>
      <c r="BC31" s="641"/>
      <c r="BD31" s="729"/>
      <c r="BE31" s="729"/>
      <c r="BF31" s="729"/>
      <c r="BG31" s="729"/>
      <c r="BH31" s="729"/>
    </row>
    <row s="32230" customFormat="1" customHeight="1" ht="18.75">
      <c r="A32" s="1734"/>
      <c r="B32" s="1734"/>
      <c r="C32" s="1734"/>
      <c r="D32" s="1734"/>
      <c r="E32" s="1734"/>
      <c r="F32" s="1734"/>
      <c r="G32" s="1734"/>
      <c r="H32" s="1734"/>
      <c r="I32" s="1734"/>
      <c r="J32" s="1734"/>
      <c r="K32" s="1734"/>
      <c r="L32" s="1735"/>
      <c r="M32" s="1734"/>
      <c r="N32" s="1734"/>
      <c r="O32" s="1734"/>
      <c r="P32" s="1734"/>
      <c r="Q32" s="1734"/>
      <c r="S32" s="2518" t="s">
        <v>462</v>
      </c>
      <c r="T32" s="2518"/>
      <c r="U32" s="1738"/>
      <c r="V32" s="2519" t="str">
        <f>IF(TITLE_DATE_PR_CHANGE="",IF(TITLE_DATE_PR="","",TITLE_DATE_PR),TITLE_DATE_PR_CHANGE)</f>
        <v>45280</v>
      </c>
      <c r="W32" s="2519"/>
      <c r="X32" s="2519"/>
      <c r="Y32" s="2519"/>
      <c r="Z32" s="2519"/>
      <c r="AA32" s="2519"/>
      <c r="AB32" s="2519"/>
      <c r="AC32" s="687"/>
      <c r="AD32" s="2519" t="str">
        <f>IF(TITLE_DATE_PR_CHANGE="",IF(TITLE_DATE_PR="","",TITLE_DATE_PR),TITLE_DATE_PR_CHANGE)</f>
        <v>45280</v>
      </c>
      <c r="AE32" s="2519"/>
      <c r="AF32" s="2519"/>
      <c r="AG32" s="2519"/>
      <c r="AH32" s="2519"/>
      <c r="AI32" s="2519"/>
      <c r="AJ32" s="2519"/>
      <c r="AK32" s="2519"/>
      <c r="AL32" s="2519"/>
      <c r="AM32" s="2519"/>
      <c r="AN32" s="2519"/>
      <c r="AO32" s="2519"/>
      <c r="AP32" s="2519"/>
      <c r="AQ32" s="2519"/>
      <c r="AR32" s="2519"/>
      <c r="AS32" s="2519"/>
      <c r="AT32" s="2519"/>
      <c r="AU32" s="2519"/>
      <c r="AV32" s="2519"/>
      <c r="AW32" s="2519"/>
      <c r="AX32" s="2519"/>
      <c r="AY32" s="2519"/>
      <c r="AZ32" s="2519"/>
      <c r="BA32" s="687"/>
      <c r="BB32" s="687"/>
      <c r="BC32" s="641"/>
      <c r="BD32" s="729"/>
      <c r="BE32" s="729"/>
      <c r="BF32" s="729"/>
      <c r="BG32" s="729"/>
      <c r="BH32" s="729"/>
    </row>
    <row s="32230" customFormat="1" customHeight="1" ht="18.75">
      <c r="A33" s="1734"/>
      <c r="B33" s="1734"/>
      <c r="C33" s="1734"/>
      <c r="D33" s="1734"/>
      <c r="E33" s="1734"/>
      <c r="F33" s="1734"/>
      <c r="G33" s="1734"/>
      <c r="H33" s="1734"/>
      <c r="I33" s="1734"/>
      <c r="J33" s="1734"/>
      <c r="K33" s="1734"/>
      <c r="L33" s="1735"/>
      <c r="M33" s="1734"/>
      <c r="N33" s="1734"/>
      <c r="O33" s="1734"/>
      <c r="P33" s="1734"/>
      <c r="Q33" s="1734"/>
      <c r="S33" s="2518" t="s">
        <v>463</v>
      </c>
      <c r="T33" s="2518"/>
      <c r="U33" s="1738"/>
      <c r="V33" s="2520" t="str">
        <f>IF(TITLE_NUMBER_PR_CHANGE="",IF(TITLE_NUMBER_PR="","",TITLE_NUMBER_PR),TITLE_NUMBER_PR_CHANGE)</f>
        <v>51/16</v>
      </c>
      <c r="W33" s="2520"/>
      <c r="X33" s="2520"/>
      <c r="Y33" s="2520"/>
      <c r="Z33" s="2520"/>
      <c r="AA33" s="2520"/>
      <c r="AB33" s="2520"/>
      <c r="AC33" s="687"/>
      <c r="AD33" s="2520" t="str">
        <f>IF(TITLE_NUMBER_PR_CHANGE="",IF(TITLE_NUMBER_PR="","",TITLE_NUMBER_PR),TITLE_NUMBER_PR_CHANGE)</f>
        <v>51/16</v>
      </c>
      <c r="AE33" s="2520"/>
      <c r="AF33" s="2520"/>
      <c r="AG33" s="2520"/>
      <c r="AH33" s="2520"/>
      <c r="AI33" s="2520"/>
      <c r="AJ33" s="2520"/>
      <c r="AK33" s="2520"/>
      <c r="AL33" s="2520"/>
      <c r="AM33" s="2520"/>
      <c r="AN33" s="2520"/>
      <c r="AO33" s="2520"/>
      <c r="AP33" s="2520"/>
      <c r="AQ33" s="2520"/>
      <c r="AR33" s="2520"/>
      <c r="AS33" s="2520"/>
      <c r="AT33" s="2520"/>
      <c r="AU33" s="2520"/>
      <c r="AV33" s="2520"/>
      <c r="AW33" s="2520"/>
      <c r="AX33" s="2520"/>
      <c r="AY33" s="2520"/>
      <c r="AZ33" s="2520"/>
      <c r="BA33" s="687"/>
      <c r="BB33" s="687"/>
      <c r="BC33" s="641"/>
      <c r="BD33" s="729"/>
      <c r="BE33" s="729"/>
      <c r="BF33" s="729"/>
      <c r="BG33" s="729"/>
      <c r="BH33" s="729"/>
    </row>
    <row s="32230" customFormat="1" customHeight="1" ht="18.75">
      <c r="A34" s="1734"/>
      <c r="B34" s="1734"/>
      <c r="C34" s="1734"/>
      <c r="D34" s="1734"/>
      <c r="E34" s="1734"/>
      <c r="F34" s="1734"/>
      <c r="G34" s="1734"/>
      <c r="H34" s="1734"/>
      <c r="I34" s="1734"/>
      <c r="J34" s="1734"/>
      <c r="K34" s="1734"/>
      <c r="L34" s="1735"/>
      <c r="M34" s="1734"/>
      <c r="N34" s="1734"/>
      <c r="O34" s="1734"/>
      <c r="P34" s="1734"/>
      <c r="Q34" s="1734"/>
      <c r="S34" s="2518" t="s">
        <v>40</v>
      </c>
      <c r="T34" s="2518"/>
      <c r="U34" s="1738"/>
      <c r="V34" s="2520" t="str">
        <f>IF(TITLE_IST_PUB_CHANGE="",IF(TITLE_IST_PUB="","",TITLE_IST_PUB),TITLE_IST_PUB_CHANGE)</f>
        <v>https://npa.gov-murman.ru/bitrix/components/b1team/govmurman.element.file/download.php?ID=508455&amp;FID=750728</v>
      </c>
      <c r="W34" s="2520"/>
      <c r="X34" s="2520"/>
      <c r="Y34" s="2520"/>
      <c r="Z34" s="2520"/>
      <c r="AA34" s="2520"/>
      <c r="AB34" s="2520"/>
      <c r="AC34" s="687"/>
      <c r="AD34" s="2520" t="str">
        <f>IF(TITLE_IST_PUB_CHANGE="",IF(TITLE_IST_PUB="","",TITLE_IST_PUB),TITLE_IST_PUB_CHANGE)</f>
        <v>https://npa.gov-murman.ru/bitrix/components/b1team/govmurman.element.file/download.php?ID=508455&amp;FID=750728</v>
      </c>
      <c r="AE34" s="2520"/>
      <c r="AF34" s="2520"/>
      <c r="AG34" s="2520"/>
      <c r="AH34" s="2520"/>
      <c r="AI34" s="2520"/>
      <c r="AJ34" s="2520"/>
      <c r="AK34" s="2520"/>
      <c r="AL34" s="2520"/>
      <c r="AM34" s="2520"/>
      <c r="AN34" s="2520"/>
      <c r="AO34" s="2520"/>
      <c r="AP34" s="2520"/>
      <c r="AQ34" s="2520"/>
      <c r="AR34" s="2520"/>
      <c r="AS34" s="2520"/>
      <c r="AT34" s="2520"/>
      <c r="AU34" s="2520"/>
      <c r="AV34" s="2520"/>
      <c r="AW34" s="2520"/>
      <c r="AX34" s="2520"/>
      <c r="AY34" s="2520"/>
      <c r="AZ34" s="2520"/>
      <c r="BA34" s="687"/>
      <c r="BB34" s="687"/>
      <c r="BC34" s="641"/>
      <c r="BD34" s="729"/>
      <c r="BE34" s="729"/>
      <c r="BF34" s="729"/>
      <c r="BG34" s="729"/>
      <c r="BH34" s="729"/>
    </row>
    <row customHeight="1" ht="14.25" hidden="1">
      <c r="Q35" s="652"/>
      <c r="R35" s="737"/>
      <c r="S35" s="1641"/>
      <c r="T35" s="724"/>
      <c r="U35" s="724"/>
      <c r="V35" s="683"/>
      <c r="W35" s="683"/>
      <c r="X35" s="683"/>
      <c r="Y35" s="683"/>
      <c r="Z35" s="683"/>
      <c r="AA35" s="683"/>
      <c r="AB35" s="683"/>
      <c r="AC35" s="683"/>
      <c r="AD35" s="683"/>
      <c r="AE35" s="683"/>
      <c r="AF35" s="683"/>
      <c r="AG35" s="683"/>
      <c r="AH35" s="683"/>
      <c r="AI35" s="683"/>
      <c r="AJ35" s="683"/>
      <c r="AK35" s="683"/>
      <c r="AL35" s="683"/>
      <c r="AM35" s="683"/>
      <c r="AN35" s="683"/>
      <c r="AO35" s="683"/>
      <c r="AP35" s="683"/>
      <c r="AQ35" s="683"/>
      <c r="AR35" s="683"/>
      <c r="AS35" s="683"/>
      <c r="AT35" s="683"/>
      <c r="AU35" s="683"/>
      <c r="AV35" s="683"/>
      <c r="AW35" s="683"/>
      <c r="AX35" s="683"/>
      <c r="AY35" s="683"/>
      <c r="AZ35" s="683"/>
      <c r="BA35" s="683"/>
      <c r="BB35" s="870"/>
    </row>
    <row s="32230" customFormat="1" customHeight="1" ht="18.75" hidden="1">
      <c r="A36" s="1734"/>
      <c r="B36" s="1734"/>
      <c r="C36" s="1734"/>
      <c r="D36" s="1734"/>
      <c r="E36" s="1734"/>
      <c r="F36" s="1734"/>
      <c r="G36" s="1734"/>
      <c r="H36" s="1734"/>
      <c r="I36" s="1734"/>
      <c r="J36" s="1734"/>
      <c r="K36" s="1734"/>
      <c r="L36" s="1735"/>
      <c r="M36" s="1734"/>
      <c r="N36" s="1734"/>
      <c r="O36" s="1734"/>
      <c r="P36" s="1734"/>
      <c r="Q36" s="1734"/>
      <c r="S36" s="2518" t="s">
        <v>462</v>
      </c>
      <c r="T36" s="2518"/>
      <c r="U36" s="1738"/>
      <c r="V36" s="2519" t="str">
        <f>IF(TITLE_DATE_PR_CHANGE="",IF(TITLE_DATE_PR="","",TITLE_DATE_PR),TITLE_DATE_PR_CHANGE)</f>
        <v>45280</v>
      </c>
      <c r="W36" s="2519"/>
      <c r="X36" s="2519"/>
      <c r="Y36" s="2519"/>
      <c r="Z36" s="2519"/>
      <c r="AA36" s="2519"/>
      <c r="AB36" s="2519"/>
      <c r="AC36" s="687"/>
      <c r="AD36" s="2519" t="str">
        <f>IF(TITLE_DATE_PR_CHANGE="",IF(TITLE_DATE_PR="","",TITLE_DATE_PR),TITLE_DATE_PR_CHANGE)</f>
        <v>45280</v>
      </c>
      <c r="AE36" s="2519"/>
      <c r="AF36" s="2519"/>
      <c r="AG36" s="2519"/>
      <c r="AH36" s="2519"/>
      <c r="AI36" s="2519"/>
      <c r="AJ36" s="2519"/>
      <c r="AK36" s="2519"/>
      <c r="AL36" s="2519"/>
      <c r="AM36" s="2519"/>
      <c r="AN36" s="2519"/>
      <c r="AO36" s="2519"/>
      <c r="AP36" s="2519"/>
      <c r="AQ36" s="2519"/>
      <c r="AR36" s="2519"/>
      <c r="AS36" s="2519"/>
      <c r="AT36" s="2519"/>
      <c r="AU36" s="2519"/>
      <c r="AV36" s="2519"/>
      <c r="AW36" s="2519"/>
      <c r="AX36" s="2519"/>
      <c r="AY36" s="2519"/>
      <c r="AZ36" s="2519"/>
      <c r="BA36" s="687"/>
      <c r="BB36" s="687"/>
      <c r="BC36" s="641"/>
      <c r="BD36" s="729"/>
      <c r="BE36" s="729"/>
      <c r="BF36" s="729"/>
      <c r="BG36" s="729"/>
      <c r="BH36" s="729"/>
    </row>
    <row s="32230" customFormat="1" customHeight="1" ht="18.75" hidden="1">
      <c r="A37" s="1734"/>
      <c r="B37" s="1734"/>
      <c r="C37" s="1734"/>
      <c r="D37" s="1734"/>
      <c r="E37" s="1734"/>
      <c r="F37" s="1734"/>
      <c r="G37" s="1734"/>
      <c r="H37" s="1734"/>
      <c r="I37" s="1734"/>
      <c r="J37" s="1734"/>
      <c r="K37" s="1734"/>
      <c r="L37" s="1735"/>
      <c r="M37" s="1734"/>
      <c r="N37" s="1734"/>
      <c r="O37" s="1734"/>
      <c r="P37" s="1734"/>
      <c r="Q37" s="1734"/>
      <c r="S37" s="2518" t="s">
        <v>463</v>
      </c>
      <c r="T37" s="2518"/>
      <c r="U37" s="1738"/>
      <c r="V37" s="2520" t="str">
        <f>IF(TITLE_NUMBER_PR_CHANGE="",IF(TITLE_NUMBER_PR="","",TITLE_NUMBER_PR),TITLE_NUMBER_PR_CHANGE)</f>
        <v>51/16</v>
      </c>
      <c r="W37" s="2520"/>
      <c r="X37" s="2520"/>
      <c r="Y37" s="2520"/>
      <c r="Z37" s="2520"/>
      <c r="AA37" s="2520"/>
      <c r="AB37" s="2520"/>
      <c r="AC37" s="687"/>
      <c r="AD37" s="2520" t="str">
        <f>IF(TITLE_NUMBER_PR_CHANGE="",IF(TITLE_NUMBER_PR="","",TITLE_NUMBER_PR),TITLE_NUMBER_PR_CHANGE)</f>
        <v>51/16</v>
      </c>
      <c r="AE37" s="2520"/>
      <c r="AF37" s="2520"/>
      <c r="AG37" s="2520"/>
      <c r="AH37" s="2520"/>
      <c r="AI37" s="2520"/>
      <c r="AJ37" s="2520"/>
      <c r="AK37" s="2520"/>
      <c r="AL37" s="2520"/>
      <c r="AM37" s="2520"/>
      <c r="AN37" s="2520"/>
      <c r="AO37" s="2520"/>
      <c r="AP37" s="2520"/>
      <c r="AQ37" s="2520"/>
      <c r="AR37" s="2520"/>
      <c r="AS37" s="2520"/>
      <c r="AT37" s="2520"/>
      <c r="AU37" s="2520"/>
      <c r="AV37" s="2520"/>
      <c r="AW37" s="2520"/>
      <c r="AX37" s="2520"/>
      <c r="AY37" s="2520"/>
      <c r="AZ37" s="2520"/>
      <c r="BA37" s="687"/>
      <c r="BB37" s="687"/>
      <c r="BC37" s="641"/>
      <c r="BD37" s="729"/>
      <c r="BE37" s="729"/>
      <c r="BF37" s="729"/>
      <c r="BG37" s="729"/>
      <c r="BH37" s="729"/>
    </row>
    <row s="32230" customFormat="1" customHeight="1" ht="0">
      <c r="A38" s="1734"/>
      <c r="B38" s="1734"/>
      <c r="C38" s="1734"/>
      <c r="D38" s="1734"/>
      <c r="E38" s="1734"/>
      <c r="F38" s="1734"/>
      <c r="G38" s="1734"/>
      <c r="H38" s="1734"/>
      <c r="I38" s="1734"/>
      <c r="J38" s="1734"/>
      <c r="K38" s="1734"/>
      <c r="L38" s="1735"/>
      <c r="M38" s="1734"/>
      <c r="N38" s="1734"/>
      <c r="O38" s="1734"/>
      <c r="P38" s="1734"/>
      <c r="Q38" s="1734"/>
      <c r="S38" s="684"/>
      <c r="T38" s="684"/>
      <c r="U38" s="1854"/>
      <c r="V38" s="687"/>
      <c r="W38" s="687"/>
      <c r="X38" s="687"/>
      <c r="Y38" s="687"/>
      <c r="Z38" s="687"/>
      <c r="AA38" s="687"/>
      <c r="AB38" s="687"/>
      <c r="AC38" s="639" t="s">
        <v>466</v>
      </c>
      <c r="AD38" s="687"/>
      <c r="AE38" s="687"/>
      <c r="AF38" s="687"/>
      <c r="AG38" s="687"/>
      <c r="AH38" s="687"/>
      <c r="AI38" s="687"/>
      <c r="AJ38" s="687"/>
      <c r="AK38" s="687"/>
      <c r="AL38" s="687"/>
      <c r="AM38" s="687"/>
      <c r="AN38" s="687"/>
      <c r="AO38" s="687"/>
      <c r="AP38" s="687"/>
      <c r="AQ38" s="687"/>
      <c r="AR38" s="687"/>
      <c r="AS38" s="687"/>
      <c r="AT38" s="687"/>
      <c r="AU38" s="687"/>
      <c r="AV38" s="687"/>
      <c r="AW38" s="687"/>
      <c r="AX38" s="687"/>
      <c r="AY38" s="687"/>
      <c r="AZ38" s="687"/>
      <c r="BA38" s="639" t="s">
        <v>466</v>
      </c>
      <c r="BD38" s="729"/>
      <c r="BE38" s="729"/>
      <c r="BF38" s="729"/>
      <c r="BG38" s="729"/>
      <c r="BH38" s="729"/>
    </row>
    <row customHeight="1" ht="14.25">
      <c r="Q39" s="652"/>
      <c r="R39" s="737"/>
      <c r="S39" s="1641"/>
      <c r="T39" s="724"/>
      <c r="U39" s="1609"/>
      <c r="V39" s="2544"/>
      <c r="W39" s="2544"/>
      <c r="X39" s="2544"/>
      <c r="Y39" s="2544"/>
      <c r="Z39" s="2544"/>
      <c r="AA39" s="2544"/>
      <c r="AB39" s="2544"/>
      <c r="AC39" s="2544"/>
      <c r="AD39" s="2544"/>
      <c r="AE39" s="2544"/>
      <c r="AF39" s="2544"/>
      <c r="AG39" s="2544"/>
      <c r="AH39" s="2544"/>
      <c r="AI39" s="2544"/>
      <c r="AJ39" s="2544"/>
      <c r="AK39" s="2544"/>
      <c r="AL39" s="2544"/>
      <c r="AM39" s="2544"/>
      <c r="AN39" s="2544"/>
      <c r="AO39" s="2544"/>
      <c r="AP39" s="2544"/>
      <c r="AQ39" s="2544"/>
      <c r="AR39" s="2544"/>
      <c r="AS39" s="2544"/>
      <c r="AT39" s="2544"/>
      <c r="AU39" s="2544"/>
      <c r="AV39" s="2544"/>
      <c r="AW39" s="2544"/>
      <c r="AX39" s="2544"/>
      <c r="AY39" s="2544"/>
      <c r="AZ39" s="2544"/>
      <c r="BA39" s="2544"/>
    </row>
    <row customHeight="1" ht="14.25">
      <c r="Q40" s="652"/>
      <c r="R40" s="737"/>
      <c r="S40" s="2392" t="s">
        <v>341</v>
      </c>
      <c r="T40" s="2392"/>
      <c r="U40" s="2392"/>
      <c r="V40" s="2392"/>
      <c r="W40" s="2392"/>
      <c r="X40" s="2392"/>
      <c r="Y40" s="2392"/>
      <c r="Z40" s="2392"/>
      <c r="AA40" s="2392"/>
      <c r="AB40" s="2392"/>
      <c r="AC40" s="2392"/>
      <c r="AD40" s="2392"/>
      <c r="AE40" s="2392"/>
      <c r="AF40" s="2392"/>
      <c r="AG40" s="2392"/>
      <c r="AH40" s="2392"/>
      <c r="AI40" s="2392"/>
      <c r="AJ40" s="2392"/>
      <c r="AK40" s="2392"/>
      <c r="AL40" s="2392"/>
      <c r="AM40" s="2392"/>
      <c r="AN40" s="2392"/>
      <c r="AO40" s="2392"/>
      <c r="AP40" s="2392"/>
      <c r="AQ40" s="2392"/>
      <c r="AR40" s="2392"/>
      <c r="AS40" s="2392"/>
      <c r="AT40" s="2392"/>
      <c r="AU40" s="2392"/>
      <c r="AV40" s="2392"/>
      <c r="AW40" s="2392"/>
      <c r="AX40" s="2392"/>
      <c r="AY40" s="2392"/>
      <c r="AZ40" s="2392"/>
      <c r="BA40" s="2392"/>
      <c r="BB40" s="2392"/>
      <c r="BC40" s="2392" t="s">
        <v>342</v>
      </c>
    </row>
    <row customHeight="1" ht="14.25">
      <c r="Q41" s="652"/>
      <c r="R41" s="737"/>
      <c r="S41" s="2545" t="s">
        <v>87</v>
      </c>
      <c r="T41" s="2482" t="s">
        <v>546</v>
      </c>
      <c r="U41" s="662"/>
      <c r="V41" s="2546" t="s">
        <v>468</v>
      </c>
      <c r="W41" s="2547"/>
      <c r="X41" s="2547"/>
      <c r="Y41" s="2547"/>
      <c r="Z41" s="2547"/>
      <c r="AA41" s="2547"/>
      <c r="AB41" s="2548"/>
      <c r="AC41" s="2549" t="s">
        <v>469</v>
      </c>
      <c r="AD41" s="2593" t="s">
        <v>547</v>
      </c>
      <c r="AE41" s="2568"/>
      <c r="AF41" s="2568"/>
      <c r="AG41" s="2594"/>
      <c r="AH41" s="2593" t="s">
        <v>548</v>
      </c>
      <c r="AI41" s="2568"/>
      <c r="AJ41" s="2568"/>
      <c r="AK41" s="2594"/>
      <c r="AL41" s="2593" t="s">
        <v>549</v>
      </c>
      <c r="AM41" s="2568"/>
      <c r="AN41" s="2568"/>
      <c r="AO41" s="2594"/>
      <c r="AP41" s="2593" t="s">
        <v>550</v>
      </c>
      <c r="AQ41" s="2568"/>
      <c r="AR41" s="2568"/>
      <c r="AS41" s="2594"/>
      <c r="AT41" s="2546" t="s">
        <v>468</v>
      </c>
      <c r="AU41" s="2547"/>
      <c r="AV41" s="2547"/>
      <c r="AW41" s="2547"/>
      <c r="AX41" s="2547"/>
      <c r="AY41" s="2547"/>
      <c r="AZ41" s="2548"/>
      <c r="BA41" s="2549" t="s">
        <v>469</v>
      </c>
      <c r="BB41" s="2552" t="s">
        <v>471</v>
      </c>
      <c r="BC41" s="2392"/>
    </row>
    <row customHeight="1" ht="33.75">
      <c r="Q42" s="652"/>
      <c r="R42" s="737"/>
      <c r="S42" s="2545"/>
      <c r="T42" s="2482"/>
      <c r="U42" s="1393"/>
      <c r="V42" s="2450" t="s">
        <v>551</v>
      </c>
      <c r="W42" s="2451"/>
      <c r="X42" s="2450" t="s">
        <v>552</v>
      </c>
      <c r="Y42" s="2451"/>
      <c r="Z42" s="2566" t="s">
        <v>553</v>
      </c>
      <c r="AA42" s="2584"/>
      <c r="AB42" s="2585"/>
      <c r="AC42" s="2550"/>
      <c r="AD42" s="2595"/>
      <c r="AE42" s="2596"/>
      <c r="AF42" s="2596"/>
      <c r="AG42" s="2608"/>
      <c r="AH42" s="2595"/>
      <c r="AI42" s="2596"/>
      <c r="AJ42" s="2596"/>
      <c r="AK42" s="2608"/>
      <c r="AL42" s="2595"/>
      <c r="AM42" s="2596"/>
      <c r="AN42" s="2596"/>
      <c r="AO42" s="2608"/>
      <c r="AP42" s="2595"/>
      <c r="AQ42" s="2596"/>
      <c r="AR42" s="2596"/>
      <c r="AS42" s="2608"/>
      <c r="AT42" s="2450" t="s">
        <v>551</v>
      </c>
      <c r="AU42" s="2451"/>
      <c r="AV42" s="2450" t="s">
        <v>552</v>
      </c>
      <c r="AW42" s="2451"/>
      <c r="AX42" s="2566" t="s">
        <v>553</v>
      </c>
      <c r="AY42" s="2584"/>
      <c r="AZ42" s="2585"/>
      <c r="BA42" s="2550"/>
      <c r="BB42" s="2553"/>
      <c r="BC42" s="2392"/>
    </row>
    <row customHeight="1" ht="14.25">
      <c r="Q43" s="652"/>
      <c r="R43" s="737"/>
      <c r="S43" s="2545"/>
      <c r="T43" s="2482"/>
      <c r="U43" s="1393"/>
      <c r="V43" s="2458"/>
      <c r="W43" s="2459"/>
      <c r="X43" s="2458"/>
      <c r="Y43" s="2459"/>
      <c r="Z43" s="2567"/>
      <c r="AA43" s="2586"/>
      <c r="AB43" s="2587"/>
      <c r="AC43" s="2550"/>
      <c r="AD43" s="2595"/>
      <c r="AE43" s="2596"/>
      <c r="AF43" s="2596"/>
      <c r="AG43" s="2608"/>
      <c r="AH43" s="2595"/>
      <c r="AI43" s="2596"/>
      <c r="AJ43" s="2596"/>
      <c r="AK43" s="2608"/>
      <c r="AL43" s="2595"/>
      <c r="AM43" s="2596"/>
      <c r="AN43" s="2596"/>
      <c r="AO43" s="2608"/>
      <c r="AP43" s="2595"/>
      <c r="AQ43" s="2596"/>
      <c r="AR43" s="2596"/>
      <c r="AS43" s="2608"/>
      <c r="AT43" s="2458"/>
      <c r="AU43" s="2459"/>
      <c r="AV43" s="2458"/>
      <c r="AW43" s="2459"/>
      <c r="AX43" s="2567"/>
      <c r="AY43" s="2586"/>
      <c r="AZ43" s="2587"/>
      <c r="BA43" s="2550"/>
      <c r="BB43" s="2553"/>
      <c r="BC43" s="2392"/>
    </row>
    <row customHeight="1" ht="14.25">
      <c r="A44" s="1736"/>
      <c r="B44" s="1736" t="s">
        <v>143</v>
      </c>
      <c r="C44" s="1736" t="s">
        <v>144</v>
      </c>
      <c r="D44" s="1736" t="s">
        <v>145</v>
      </c>
      <c r="E44" s="1730" t="s">
        <v>476</v>
      </c>
      <c r="F44" s="1730" t="s">
        <v>477</v>
      </c>
      <c r="G44" s="1730" t="s">
        <v>478</v>
      </c>
      <c r="H44" s="1730" t="s">
        <v>479</v>
      </c>
      <c r="I44" s="1730" t="s">
        <v>480</v>
      </c>
      <c r="J44" s="1730" t="s">
        <v>481</v>
      </c>
      <c r="K44" s="1730" t="s">
        <v>482</v>
      </c>
      <c r="L44" s="1730" t="s">
        <v>457</v>
      </c>
      <c r="Q44" s="652"/>
      <c r="R44" s="737"/>
      <c r="S44" s="2545"/>
      <c r="T44" s="2482"/>
      <c r="U44" s="663"/>
      <c r="V44" s="1845" t="s">
        <v>517</v>
      </c>
      <c r="W44" s="1845" t="s">
        <v>518</v>
      </c>
      <c r="X44" s="1845" t="s">
        <v>517</v>
      </c>
      <c r="Y44" s="1845" t="s">
        <v>518</v>
      </c>
      <c r="Z44" s="1855" t="s">
        <v>485</v>
      </c>
      <c r="AA44" s="2541" t="s">
        <v>486</v>
      </c>
      <c r="AB44" s="2542"/>
      <c r="AC44" s="2551"/>
      <c r="AD44" s="2597"/>
      <c r="AE44" s="2598"/>
      <c r="AF44" s="2598"/>
      <c r="AG44" s="2599"/>
      <c r="AH44" s="2597"/>
      <c r="AI44" s="2598"/>
      <c r="AJ44" s="2598"/>
      <c r="AK44" s="2599"/>
      <c r="AL44" s="2597"/>
      <c r="AM44" s="2598"/>
      <c r="AN44" s="2598"/>
      <c r="AO44" s="2599"/>
      <c r="AP44" s="2597"/>
      <c r="AQ44" s="2598"/>
      <c r="AR44" s="2598"/>
      <c r="AS44" s="2599"/>
      <c r="AT44" s="1845" t="s">
        <v>517</v>
      </c>
      <c r="AU44" s="1845" t="s">
        <v>518</v>
      </c>
      <c r="AV44" s="1845" t="s">
        <v>517</v>
      </c>
      <c r="AW44" s="1845" t="s">
        <v>518</v>
      </c>
      <c r="AX44" s="1855" t="s">
        <v>485</v>
      </c>
      <c r="AY44" s="2541" t="s">
        <v>486</v>
      </c>
      <c r="AZ44" s="2542"/>
      <c r="BA44" s="2551"/>
      <c r="BB44" s="2554"/>
      <c r="BC44" s="2392"/>
    </row>
    <row s="32049" customFormat="1" customHeight="1" ht="0">
      <c r="A45" s="1736"/>
      <c r="B45" s="1736"/>
      <c r="C45" s="1736"/>
      <c r="D45" s="1736"/>
      <c r="E45" s="1736"/>
      <c r="F45" s="1736"/>
      <c r="G45" s="1736"/>
      <c r="H45" s="1736"/>
      <c r="I45" s="1736"/>
      <c r="J45" s="1736"/>
      <c r="K45" s="1736"/>
      <c r="L45" s="1730"/>
      <c r="M45" s="1728"/>
      <c r="N45" s="1728"/>
      <c r="O45" s="1728"/>
      <c r="P45" s="871"/>
      <c r="Q45" s="1619"/>
      <c r="R45" s="1619">
        <v>1</v>
      </c>
      <c r="S45" s="1643" t="s">
        <v>118</v>
      </c>
      <c r="T45" s="1620" t="s">
        <v>102</v>
      </c>
      <c r="U45" s="1610" t="str">
        <f>OFFSET(U45,0,-1)</f>
        <v>2</v>
      </c>
      <c r="V45" s="1848">
        <f>OFFSET(V45,0,-1)+1</f>
        <v>3</v>
      </c>
      <c r="W45" s="1848">
        <f>OFFSET(W45,0,-1)+1</f>
        <v>4</v>
      </c>
      <c r="X45" s="1848">
        <f>OFFSET(X45,0,-1)+1</f>
        <v>5</v>
      </c>
      <c r="Y45" s="1848">
        <f>OFFSET(Y45,0,-1)+1</f>
        <v>6</v>
      </c>
      <c r="Z45" s="1848">
        <f>OFFSET(Z45,0,-1)+1</f>
        <v>7</v>
      </c>
      <c r="AA45" s="2543">
        <f>OFFSET(AA45,0,-1)+1</f>
        <v>8</v>
      </c>
      <c r="AB45" s="2543"/>
      <c r="AC45" s="1848">
        <f>OFFSET(AC45,0,-2)+1</f>
        <v>9</v>
      </c>
      <c r="AD45" s="1848">
        <f>OFFSET(AD45,0,-1)+1</f>
        <v>10</v>
      </c>
      <c r="AE45" s="1848"/>
      <c r="AF45" s="1848"/>
      <c r="AG45" s="1848"/>
      <c r="AH45" s="1848"/>
      <c r="AI45" s="1848"/>
      <c r="AJ45" s="1848"/>
      <c r="AK45" s="1848"/>
      <c r="AL45" s="1848"/>
      <c r="AM45" s="1848"/>
      <c r="AN45" s="1848"/>
      <c r="AO45" s="1848"/>
      <c r="AP45" s="1848"/>
      <c r="AQ45" s="1848"/>
      <c r="AR45" s="1848"/>
      <c r="AS45" s="1848"/>
      <c r="AT45" s="1848"/>
      <c r="AU45" s="1848"/>
      <c r="AV45" s="1848"/>
      <c r="AW45" s="1848">
        <f>OFFSET(AW45,0,-1)+1</f>
        <v>1</v>
      </c>
      <c r="AX45" s="1848">
        <f>OFFSET(AX45,0,-1)+1</f>
        <v>2</v>
      </c>
      <c r="AY45" s="2543">
        <f>OFFSET(AY45,0,-1)+1</f>
        <v>3</v>
      </c>
      <c r="AZ45" s="2543"/>
      <c r="BA45" s="1848">
        <f>OFFSET(BA45,0,-2)+1</f>
        <v>4</v>
      </c>
      <c r="BB45" s="1610">
        <f>OFFSET(BB45,0,-1)</f>
        <v>4</v>
      </c>
      <c r="BC45" s="1848">
        <f>OFFSET(BC45,0,-1)+1</f>
        <v>5</v>
      </c>
      <c r="BD45" s="872"/>
      <c r="BE45" s="872"/>
      <c r="BF45" s="872"/>
      <c r="BG45" s="872"/>
      <c r="BH45" s="872"/>
    </row>
    <row customHeight="1" ht="21">
      <c r="A46" s="1729" t="s">
        <v>302</v>
      </c>
      <c r="B46" s="1729"/>
      <c r="C46" s="1729"/>
      <c r="D46" s="1729"/>
      <c r="E46" s="2527">
        <v>1</v>
      </c>
      <c r="F46" s="1729"/>
      <c r="G46" s="1729"/>
      <c r="H46" s="1729"/>
      <c r="I46" s="1729"/>
      <c r="J46" s="1729"/>
      <c r="K46" s="1729"/>
      <c r="L46" s="1730"/>
      <c r="M46" s="1731"/>
      <c r="N46" s="1731"/>
      <c r="O46" s="1731"/>
      <c r="P46" s="1775"/>
      <c r="Q46" s="1234"/>
      <c r="R46" s="716"/>
      <c r="S46" s="1859">
        <f>INDEX(PT_DIFFERENTIATION_NUM_NTAR,MATCH(A46,PT_DIFFERENTIATION_NTAR_ID,0))</f>
        <v>0</v>
      </c>
      <c r="T46" s="659" t="s">
        <v>131</v>
      </c>
      <c r="U46" s="661"/>
      <c r="V46" s="2522"/>
      <c r="W46" s="2522"/>
      <c r="X46" s="2522"/>
      <c r="Y46" s="2522"/>
      <c r="Z46" s="2522"/>
      <c r="AA46" s="2522"/>
      <c r="AB46" s="2522"/>
      <c r="AC46" s="2523"/>
      <c r="AD46" s="2521" t="str">
        <f>INDEX(PT_DIFFERENTIATION_NTAR,MATCH(A46,PT_DIFFERENTIATION_NTAR_ID,0))</f>
        <v/>
      </c>
      <c r="AE46" s="2522"/>
      <c r="AF46" s="2522"/>
      <c r="AG46" s="2522"/>
      <c r="AH46" s="2522"/>
      <c r="AI46" s="2522"/>
      <c r="AJ46" s="2522"/>
      <c r="AK46" s="2522"/>
      <c r="AL46" s="2522"/>
      <c r="AM46" s="2522"/>
      <c r="AN46" s="2522"/>
      <c r="AO46" s="2522"/>
      <c r="AP46" s="2522"/>
      <c r="AQ46" s="2522"/>
      <c r="AR46" s="2522"/>
      <c r="AS46" s="2522"/>
      <c r="AT46" s="2522"/>
      <c r="AU46" s="2522"/>
      <c r="AV46" s="2522"/>
      <c r="AW46" s="2522"/>
      <c r="AX46" s="2522"/>
      <c r="AY46" s="2522"/>
      <c r="AZ46" s="2522"/>
      <c r="BA46" s="2522"/>
      <c r="BB46" s="2523"/>
      <c r="BC46"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861"/>
      <c r="BF46" s="861" t="str">
        <f>IF(T46="","",T46)</f>
        <v>Наименование тарифа</v>
      </c>
      <c r="BG46" s="861"/>
      <c r="BH46" s="861"/>
    </row>
    <row customHeight="1" ht="21">
      <c r="A47" s="1729" t="s">
        <v>302</v>
      </c>
      <c r="B47" s="1729" t="s">
        <v>303</v>
      </c>
      <c r="C47" s="1729"/>
      <c r="D47" s="1729"/>
      <c r="E47" s="2528"/>
      <c r="F47" s="2527">
        <v>1</v>
      </c>
      <c r="G47" s="1729"/>
      <c r="H47" s="1729"/>
      <c r="I47" s="1729"/>
      <c r="J47" s="1729"/>
      <c r="K47" s="1729"/>
      <c r="L47" s="1730"/>
      <c r="M47" s="1731"/>
      <c r="N47" s="1731"/>
      <c r="O47" s="1731"/>
      <c r="P47" s="1776"/>
      <c r="Q47" s="1777"/>
      <c r="R47" s="714"/>
      <c r="S47" s="1859" t="str">
        <f>INDEX(PT_DIFFERENTIATION_NUM_TER,MATCH(B47,PT_DIFFERENTIATION_TER_ID,0))</f>
        <v>.</v>
      </c>
      <c r="T47" s="669" t="s">
        <v>438</v>
      </c>
      <c r="U47" s="661"/>
      <c r="V47" s="2522"/>
      <c r="W47" s="2522"/>
      <c r="X47" s="2522"/>
      <c r="Y47" s="2522"/>
      <c r="Z47" s="2522"/>
      <c r="AA47" s="2522"/>
      <c r="AB47" s="2522"/>
      <c r="AC47" s="2523"/>
      <c r="AD47" s="2521" t="str">
        <f>INDEX(PT_DIFFERENTIATION_TER,MATCH(B47,PT_DIFFERENTIATION_TER_ID,0))</f>
        <v/>
      </c>
      <c r="AE47" s="2522"/>
      <c r="AF47" s="2522"/>
      <c r="AG47" s="2522"/>
      <c r="AH47" s="2522"/>
      <c r="AI47" s="2522"/>
      <c r="AJ47" s="2522"/>
      <c r="AK47" s="2522"/>
      <c r="AL47" s="2522"/>
      <c r="AM47" s="2522"/>
      <c r="AN47" s="2522"/>
      <c r="AO47" s="2522"/>
      <c r="AP47" s="2522"/>
      <c r="AQ47" s="2522"/>
      <c r="AR47" s="2522"/>
      <c r="AS47" s="2522"/>
      <c r="AT47" s="2522"/>
      <c r="AU47" s="2522"/>
      <c r="AV47" s="2522"/>
      <c r="AW47" s="2522"/>
      <c r="AX47" s="2522"/>
      <c r="AY47" s="2522"/>
      <c r="AZ47" s="2522"/>
      <c r="BA47" s="2522"/>
      <c r="BB47" s="2523"/>
      <c r="BC47" s="1623" t="s">
        <v>439</v>
      </c>
      <c r="BE47" s="861"/>
      <c r="BF47" s="861" t="str">
        <f>IF(T47="","",T47)</f>
        <v>Территория действия тарифа</v>
      </c>
      <c r="BG47" s="861"/>
      <c r="BH47" s="861"/>
    </row>
    <row customHeight="1" ht="33.75">
      <c r="A48" s="1729" t="s">
        <v>302</v>
      </c>
      <c r="B48" s="1729" t="s">
        <v>303</v>
      </c>
      <c r="C48" s="1729" t="s">
        <v>304</v>
      </c>
      <c r="D48" s="1729"/>
      <c r="E48" s="2528"/>
      <c r="F48" s="2528"/>
      <c r="G48" s="2527">
        <v>1</v>
      </c>
      <c r="H48" s="1729"/>
      <c r="I48" s="1729"/>
      <c r="J48" s="1729"/>
      <c r="K48" s="1729"/>
      <c r="L48" s="1730"/>
      <c r="M48" s="1731"/>
      <c r="N48" s="1731"/>
      <c r="O48" s="1731"/>
      <c r="P48" s="1778"/>
      <c r="Q48" s="1777"/>
      <c r="R48" s="714"/>
      <c r="S48" s="1859" t="str">
        <f>INDEX(PT_DIFFERENTIATION_NUM_CS,MATCH(C48,PT_DIFFERENTIATION_CS_ID,0))</f>
        <v>..</v>
      </c>
      <c r="T48" s="670" t="s">
        <v>569</v>
      </c>
      <c r="U48" s="661"/>
      <c r="V48" s="2522"/>
      <c r="W48" s="2522"/>
      <c r="X48" s="2522"/>
      <c r="Y48" s="2522"/>
      <c r="Z48" s="2522"/>
      <c r="AA48" s="2522"/>
      <c r="AB48" s="2522"/>
      <c r="AC48" s="2523"/>
      <c r="AD48" s="2521" t="str">
        <f>INDEX(PT_DIFFERENTIATION_CS,MATCH(C48,PT_DIFFERENTIATION_CS_ID,0))</f>
        <v/>
      </c>
      <c r="AE48" s="2522"/>
      <c r="AF48" s="2522"/>
      <c r="AG48" s="2522"/>
      <c r="AH48" s="2522"/>
      <c r="AI48" s="2522"/>
      <c r="AJ48" s="2522"/>
      <c r="AK48" s="2522"/>
      <c r="AL48" s="2522"/>
      <c r="AM48" s="2522"/>
      <c r="AN48" s="2522"/>
      <c r="AO48" s="2522"/>
      <c r="AP48" s="2522"/>
      <c r="AQ48" s="2522"/>
      <c r="AR48" s="2522"/>
      <c r="AS48" s="2522"/>
      <c r="AT48" s="2522"/>
      <c r="AU48" s="2522"/>
      <c r="AV48" s="2522"/>
      <c r="AW48" s="2522"/>
      <c r="AX48" s="2522"/>
      <c r="AY48" s="2522"/>
      <c r="AZ48" s="2522"/>
      <c r="BA48" s="2522"/>
      <c r="BB48" s="2523"/>
      <c r="BC48" s="1623" t="s">
        <v>570</v>
      </c>
      <c r="BE48" s="861"/>
      <c r="BF48" s="861" t="str">
        <f>IF(T48="","",T48)</f>
        <v>Наименование централизованной системы горячего водоснабжения</v>
      </c>
      <c r="BG48" s="861"/>
      <c r="BH48" s="861"/>
    </row>
    <row s="32289" customFormat="1" customHeight="1" ht="0">
      <c r="A49" s="1709" t="s">
        <v>302</v>
      </c>
      <c r="B49" s="1709" t="s">
        <v>303</v>
      </c>
      <c r="C49" s="1709" t="s">
        <v>304</v>
      </c>
      <c r="D49" s="1709" t="s">
        <v>585</v>
      </c>
      <c r="E49" s="2528"/>
      <c r="F49" s="2528"/>
      <c r="G49" s="2528"/>
      <c r="H49" s="2527">
        <v>1</v>
      </c>
      <c r="I49" s="1709"/>
      <c r="J49" s="1709"/>
      <c r="K49" s="1709"/>
      <c r="L49" s="1712"/>
      <c r="M49" s="1681"/>
      <c r="N49" s="1681"/>
      <c r="O49" s="1681"/>
      <c r="P49" s="1863"/>
      <c r="Q49" s="1864"/>
      <c r="R49" s="718"/>
      <c r="S49" s="1404"/>
      <c r="T49" s="1865"/>
      <c r="U49" s="1750"/>
      <c r="V49" s="2570"/>
      <c r="W49" s="2570"/>
      <c r="X49" s="2570"/>
      <c r="Y49" s="2570"/>
      <c r="Z49" s="2570"/>
      <c r="AA49" s="2570"/>
      <c r="AB49" s="2570"/>
      <c r="AC49" s="2571"/>
      <c r="AD49" s="2569"/>
      <c r="AE49" s="2570"/>
      <c r="AF49" s="2570"/>
      <c r="AG49" s="2570"/>
      <c r="AH49" s="2570"/>
      <c r="AI49" s="2570"/>
      <c r="AJ49" s="2570"/>
      <c r="AK49" s="2570"/>
      <c r="AL49" s="2570"/>
      <c r="AM49" s="2570"/>
      <c r="AN49" s="2570"/>
      <c r="AO49" s="2570"/>
      <c r="AP49" s="2570"/>
      <c r="AQ49" s="2570"/>
      <c r="AR49" s="2570"/>
      <c r="AS49" s="2570"/>
      <c r="AT49" s="2570"/>
      <c r="AU49" s="2570"/>
      <c r="AV49" s="2570"/>
      <c r="AW49" s="2570"/>
      <c r="AX49" s="2570"/>
      <c r="AY49" s="2570"/>
      <c r="AZ49" s="2570"/>
      <c r="BA49" s="2570"/>
      <c r="BB49" s="2571"/>
      <c r="BC49" s="1751" t="s">
        <v>443</v>
      </c>
      <c r="BE49" s="861"/>
      <c r="BF49" s="861" t="str">
        <f>IF(T49="","",T49)</f>
        <v/>
      </c>
      <c r="BG49" s="861"/>
      <c r="BH49" s="861"/>
    </row>
    <row s="32289" customFormat="1" customHeight="1" ht="0">
      <c r="A50" s="1709" t="s">
        <v>302</v>
      </c>
      <c r="B50" s="1709" t="s">
        <v>303</v>
      </c>
      <c r="C50" s="1709" t="s">
        <v>304</v>
      </c>
      <c r="D50" s="1709" t="s">
        <v>585</v>
      </c>
      <c r="E50" s="2528"/>
      <c r="F50" s="2528"/>
      <c r="G50" s="2528"/>
      <c r="H50" s="2528"/>
      <c r="I50" s="2529" t="str">
        <f>S49&amp;".1"</f>
        <v>.1</v>
      </c>
      <c r="J50" s="1709"/>
      <c r="K50" s="1709"/>
      <c r="L50" s="1712" t="s">
        <v>444</v>
      </c>
      <c r="M50" s="871"/>
      <c r="N50" s="871"/>
      <c r="O50" s="871"/>
      <c r="P50" s="2531">
        <v>1</v>
      </c>
      <c r="Q50" s="1847"/>
      <c r="R50" s="717"/>
      <c r="S50" s="1404"/>
      <c r="T50" s="1749"/>
      <c r="U50" s="1750"/>
      <c r="V50" s="2570"/>
      <c r="W50" s="2570"/>
      <c r="X50" s="2570"/>
      <c r="Y50" s="2570"/>
      <c r="Z50" s="2570"/>
      <c r="AA50" s="2570"/>
      <c r="AB50" s="2570"/>
      <c r="AC50" s="2571"/>
      <c r="AD50" s="2569"/>
      <c r="AE50" s="2570"/>
      <c r="AF50" s="2570"/>
      <c r="AG50" s="2570"/>
      <c r="AH50" s="2570"/>
      <c r="AI50" s="2570"/>
      <c r="AJ50" s="2570"/>
      <c r="AK50" s="2570"/>
      <c r="AL50" s="2570"/>
      <c r="AM50" s="2570"/>
      <c r="AN50" s="2570"/>
      <c r="AO50" s="2570"/>
      <c r="AP50" s="2570"/>
      <c r="AQ50" s="2570"/>
      <c r="AR50" s="2570"/>
      <c r="AS50" s="2570"/>
      <c r="AT50" s="2570"/>
      <c r="AU50" s="2570"/>
      <c r="AV50" s="2570"/>
      <c r="AW50" s="2570"/>
      <c r="AX50" s="2570"/>
      <c r="AY50" s="2570"/>
      <c r="AZ50" s="2570"/>
      <c r="BA50" s="2570"/>
      <c r="BB50" s="2571"/>
      <c r="BC50" s="1751"/>
      <c r="BE50" s="861"/>
      <c r="BF50" s="861" t="str">
        <f>IF(T50="","",T50)</f>
        <v/>
      </c>
      <c r="BG50" s="861"/>
      <c r="BH50" s="861"/>
    </row>
    <row s="32289" customFormat="1" customHeight="1" ht="0">
      <c r="A51" s="1709" t="s">
        <v>302</v>
      </c>
      <c r="B51" s="1709" t="s">
        <v>303</v>
      </c>
      <c r="C51" s="1709" t="s">
        <v>304</v>
      </c>
      <c r="D51" s="1709" t="s">
        <v>585</v>
      </c>
      <c r="E51" s="2528"/>
      <c r="F51" s="2528"/>
      <c r="G51" s="2528"/>
      <c r="H51" s="2528"/>
      <c r="I51" s="2530"/>
      <c r="J51" s="2529" t="str">
        <f>S49&amp;".1"</f>
        <v>.1</v>
      </c>
      <c r="K51" s="1709"/>
      <c r="L51" s="1712"/>
      <c r="M51" s="871"/>
      <c r="N51" s="871"/>
      <c r="O51" s="871"/>
      <c r="P51" s="2531"/>
      <c r="Q51" s="2531">
        <v>1</v>
      </c>
      <c r="R51" s="718"/>
      <c r="S51" s="1404"/>
      <c r="T51" s="1765"/>
      <c r="U51" s="1750"/>
      <c r="V51" s="2570"/>
      <c r="W51" s="2570"/>
      <c r="X51" s="2570"/>
      <c r="Y51" s="2570"/>
      <c r="Z51" s="2570"/>
      <c r="AA51" s="2570"/>
      <c r="AB51" s="2570"/>
      <c r="AC51" s="2571"/>
      <c r="AD51" s="2569"/>
      <c r="AE51" s="2570"/>
      <c r="AF51" s="2570"/>
      <c r="AG51" s="2570"/>
      <c r="AH51" s="2570"/>
      <c r="AI51" s="2570"/>
      <c r="AJ51" s="2570"/>
      <c r="AK51" s="2570"/>
      <c r="AL51" s="2570"/>
      <c r="AM51" s="2570"/>
      <c r="AN51" s="2630"/>
      <c r="AO51" s="2630"/>
      <c r="AP51" s="2570"/>
      <c r="AQ51" s="2570"/>
      <c r="AR51" s="2570"/>
      <c r="AS51" s="2570"/>
      <c r="AT51" s="2570"/>
      <c r="AU51" s="2570"/>
      <c r="AV51" s="2570"/>
      <c r="AW51" s="2570"/>
      <c r="AX51" s="2570"/>
      <c r="AY51" s="2570"/>
      <c r="AZ51" s="2570"/>
      <c r="BA51" s="2570"/>
      <c r="BB51" s="2571"/>
      <c r="BC51" s="1751"/>
      <c r="BE51" s="861"/>
      <c r="BF51" s="861" t="str">
        <f>IF(T51="","",T51)</f>
        <v/>
      </c>
      <c r="BG51" s="861"/>
      <c r="BH51" s="861"/>
    </row>
    <row customHeight="1" ht="11.25">
      <c r="A52" s="1729" t="s">
        <v>302</v>
      </c>
      <c r="B52" s="1729" t="s">
        <v>303</v>
      </c>
      <c r="C52" s="1729" t="s">
        <v>304</v>
      </c>
      <c r="D52" s="1729" t="s">
        <v>585</v>
      </c>
      <c r="E52" s="2528"/>
      <c r="F52" s="2528"/>
      <c r="G52" s="2528"/>
      <c r="H52" s="2528"/>
      <c r="I52" s="2530"/>
      <c r="J52" s="2530"/>
      <c r="K52" s="2529" t="str">
        <f>S48&amp;".1"</f>
        <v>...1</v>
      </c>
      <c r="L52" s="1730"/>
      <c r="P52" s="2531"/>
      <c r="Q52" s="2531"/>
      <c r="R52" s="718">
        <v>1</v>
      </c>
      <c r="S52" s="2604" t="str">
        <f>$K52</f>
        <v>...1</v>
      </c>
      <c r="T52" s="2624"/>
      <c r="U52" s="661"/>
      <c r="V52" s="1112"/>
      <c r="W52" s="1622"/>
      <c r="X52" s="1112"/>
      <c r="Y52" s="1622"/>
      <c r="Z52" s="2100"/>
      <c r="AA52" s="1835" t="s">
        <v>66</v>
      </c>
      <c r="AB52" s="2100"/>
      <c r="AC52" s="1835" t="s">
        <v>66</v>
      </c>
      <c r="AD52" s="2465" t="s">
        <v>66</v>
      </c>
      <c r="AE52" s="2600"/>
      <c r="AF52" s="2478">
        <v>1</v>
      </c>
      <c r="AG52" s="2623"/>
      <c r="AH52" s="2402" t="s">
        <v>66</v>
      </c>
      <c r="AI52" s="2600"/>
      <c r="AJ52" s="2478">
        <v>1</v>
      </c>
      <c r="AK52" s="2622" t="s">
        <v>24</v>
      </c>
      <c r="AL52" s="2402" t="s">
        <v>66</v>
      </c>
      <c r="AM52" s="2450"/>
      <c r="AN52" s="2478">
        <v>1</v>
      </c>
      <c r="AO52" s="2627"/>
      <c r="AP52" s="2628" t="s">
        <v>66</v>
      </c>
      <c r="AQ52" s="672"/>
      <c r="AR52" s="1852">
        <v>1</v>
      </c>
      <c r="AS52" s="1858" t="s">
        <v>24</v>
      </c>
      <c r="AT52" s="1112"/>
      <c r="AU52" s="1622"/>
      <c r="AV52" s="1112"/>
      <c r="AW52" s="1622"/>
      <c r="AX52" s="2100"/>
      <c r="AY52" s="1835" t="s">
        <v>66</v>
      </c>
      <c r="AZ52" s="2100"/>
      <c r="BA52" s="1835" t="s">
        <v>66</v>
      </c>
      <c r="BB52" s="1714"/>
      <c r="BC52" s="2557" t="s">
        <v>540</v>
      </c>
      <c r="BE52" s="861"/>
      <c r="BF52" s="861" t="str">
        <f>IF(T52="","",T52)</f>
        <v/>
      </c>
      <c r="BG52" s="861"/>
      <c r="BH52" s="861"/>
    </row>
    <row customHeight="1" ht="11.25">
      <c r="A53" s="1729"/>
      <c r="B53" s="1729"/>
      <c r="C53" s="1729"/>
      <c r="D53" s="1729"/>
      <c r="E53" s="2528"/>
      <c r="F53" s="2528"/>
      <c r="G53" s="2528"/>
      <c r="H53" s="2528"/>
      <c r="I53" s="2530"/>
      <c r="J53" s="2530"/>
      <c r="K53" s="2529"/>
      <c r="L53" s="1730"/>
      <c r="P53" s="2531"/>
      <c r="Q53" s="2531"/>
      <c r="R53" s="718"/>
      <c r="S53" s="2605"/>
      <c r="T53" s="2625"/>
      <c r="U53" s="661"/>
      <c r="V53" s="1759"/>
      <c r="W53" s="1862"/>
      <c r="X53" s="1759"/>
      <c r="Y53" s="1862"/>
      <c r="Z53" s="1759"/>
      <c r="AA53" s="1759"/>
      <c r="AB53" s="1759"/>
      <c r="AC53" s="1759"/>
      <c r="AD53" s="2466"/>
      <c r="AE53" s="2600"/>
      <c r="AF53" s="2478"/>
      <c r="AG53" s="2623"/>
      <c r="AH53" s="2402"/>
      <c r="AI53" s="2600"/>
      <c r="AJ53" s="2478"/>
      <c r="AK53" s="2622"/>
      <c r="AL53" s="2402"/>
      <c r="AM53" s="2458"/>
      <c r="AN53" s="2478"/>
      <c r="AO53" s="2627"/>
      <c r="AP53" s="2629"/>
      <c r="AQ53" s="677"/>
      <c r="AR53" s="777"/>
      <c r="AS53" s="777" t="s">
        <v>541</v>
      </c>
      <c r="AT53" s="1759"/>
      <c r="AU53" s="1862"/>
      <c r="AV53" s="1759"/>
      <c r="AW53" s="1862"/>
      <c r="AX53" s="1759"/>
      <c r="AY53" s="1759"/>
      <c r="AZ53" s="1759"/>
      <c r="BA53" s="1759"/>
      <c r="BB53" s="1763"/>
      <c r="BC53" s="2558"/>
      <c r="BE53" s="861"/>
      <c r="BF53" s="861"/>
      <c r="BG53" s="861"/>
      <c r="BH53" s="861"/>
    </row>
    <row customHeight="1" ht="11.25">
      <c r="A54" s="1729" t="s">
        <v>302</v>
      </c>
      <c r="B54" s="1729"/>
      <c r="C54" s="1729"/>
      <c r="D54" s="1729"/>
      <c r="E54" s="2528"/>
      <c r="F54" s="2528"/>
      <c r="G54" s="2528"/>
      <c r="H54" s="2528"/>
      <c r="I54" s="2530"/>
      <c r="J54" s="2530"/>
      <c r="K54" s="2529"/>
      <c r="L54" s="1730"/>
      <c r="P54" s="2531"/>
      <c r="Q54" s="2531"/>
      <c r="R54" s="718"/>
      <c r="S54" s="2605"/>
      <c r="T54" s="2625"/>
      <c r="U54" s="661"/>
      <c r="V54" s="1759"/>
      <c r="W54" s="1862"/>
      <c r="X54" s="1759"/>
      <c r="Y54" s="1862"/>
      <c r="Z54" s="1759"/>
      <c r="AA54" s="1759"/>
      <c r="AB54" s="1759"/>
      <c r="AC54" s="1759"/>
      <c r="AD54" s="2466"/>
      <c r="AE54" s="2600"/>
      <c r="AF54" s="2478"/>
      <c r="AG54" s="2623"/>
      <c r="AH54" s="2402"/>
      <c r="AI54" s="2600"/>
      <c r="AJ54" s="2478"/>
      <c r="AK54" s="2622"/>
      <c r="AL54" s="2402"/>
      <c r="AM54" s="677"/>
      <c r="AN54" s="1866"/>
      <c r="AO54" s="1866" t="s">
        <v>542</v>
      </c>
      <c r="AP54" s="777"/>
      <c r="AQ54" s="777"/>
      <c r="AR54" s="777"/>
      <c r="AS54" s="1759"/>
      <c r="AT54" s="1759"/>
      <c r="AU54" s="1862"/>
      <c r="AV54" s="1759"/>
      <c r="AW54" s="1862"/>
      <c r="AX54" s="1759"/>
      <c r="AY54" s="1759"/>
      <c r="AZ54" s="1759"/>
      <c r="BA54" s="1759"/>
      <c r="BB54" s="1763"/>
      <c r="BC54" s="2558"/>
      <c r="BE54" s="861"/>
      <c r="BF54" s="861"/>
      <c r="BG54" s="861"/>
      <c r="BH54" s="861"/>
    </row>
    <row customHeight="1" ht="11.25">
      <c r="A55" s="1729" t="s">
        <v>302</v>
      </c>
      <c r="B55" s="1729"/>
      <c r="C55" s="1729"/>
      <c r="D55" s="1729"/>
      <c r="E55" s="2528"/>
      <c r="F55" s="2528"/>
      <c r="G55" s="2528"/>
      <c r="H55" s="2528"/>
      <c r="I55" s="2530"/>
      <c r="J55" s="2530"/>
      <c r="K55" s="2529"/>
      <c r="L55" s="1730"/>
      <c r="P55" s="2531"/>
      <c r="Q55" s="2531"/>
      <c r="R55" s="718"/>
      <c r="S55" s="2605"/>
      <c r="T55" s="2625"/>
      <c r="U55" s="661"/>
      <c r="V55" s="1759"/>
      <c r="W55" s="1862"/>
      <c r="X55" s="1759"/>
      <c r="Y55" s="1862"/>
      <c r="Z55" s="1759"/>
      <c r="AA55" s="1759"/>
      <c r="AB55" s="1759"/>
      <c r="AC55" s="1759"/>
      <c r="AD55" s="2466"/>
      <c r="AE55" s="2600"/>
      <c r="AF55" s="2478"/>
      <c r="AG55" s="2623"/>
      <c r="AH55" s="2402"/>
      <c r="AI55" s="655"/>
      <c r="AJ55" s="776"/>
      <c r="AK55" s="674" t="s">
        <v>543</v>
      </c>
      <c r="AL55" s="1759"/>
      <c r="AM55" s="1759"/>
      <c r="AN55" s="1759"/>
      <c r="AO55" s="1759"/>
      <c r="AP55" s="1759"/>
      <c r="AQ55" s="1759"/>
      <c r="AR55" s="1759"/>
      <c r="AS55" s="1759"/>
      <c r="AT55" s="1759"/>
      <c r="AU55" s="1862"/>
      <c r="AV55" s="1759"/>
      <c r="AW55" s="1862"/>
      <c r="AX55" s="1759"/>
      <c r="AY55" s="1759"/>
      <c r="AZ55" s="1759"/>
      <c r="BA55" s="1759"/>
      <c r="BB55" s="1763"/>
      <c r="BC55" s="2558"/>
      <c r="BE55" s="861"/>
      <c r="BF55" s="861"/>
      <c r="BG55" s="861"/>
      <c r="BH55" s="861"/>
    </row>
    <row customHeight="1" ht="11.25">
      <c r="A56" s="1729" t="s">
        <v>302</v>
      </c>
      <c r="B56" s="1729" t="s">
        <v>303</v>
      </c>
      <c r="C56" s="1729" t="s">
        <v>304</v>
      </c>
      <c r="D56" s="1729" t="s">
        <v>585</v>
      </c>
      <c r="E56" s="2528"/>
      <c r="F56" s="2528"/>
      <c r="G56" s="2528"/>
      <c r="H56" s="2528"/>
      <c r="I56" s="2530"/>
      <c r="J56" s="2530"/>
      <c r="K56" s="2529"/>
      <c r="L56" s="1730"/>
      <c r="P56" s="2531"/>
      <c r="Q56" s="2531"/>
      <c r="R56" s="718"/>
      <c r="S56" s="2606"/>
      <c r="T56" s="2626"/>
      <c r="U56" s="661"/>
      <c r="V56" s="1759"/>
      <c r="W56" s="1760" t="str">
        <f>Z52&amp;"-"&amp;AB52</f>
        <v>-</v>
      </c>
      <c r="X56" s="1759"/>
      <c r="Y56" s="1760" t="str">
        <f>AB52&amp;"-"&amp;AD52</f>
        <v>-да</v>
      </c>
      <c r="Z56" s="1759"/>
      <c r="AA56" s="1759"/>
      <c r="AB56" s="1759"/>
      <c r="AC56" s="1759"/>
      <c r="AD56" s="2407"/>
      <c r="AE56" s="673"/>
      <c r="AF56" s="675"/>
      <c r="AG56" s="777" t="s">
        <v>544</v>
      </c>
      <c r="AH56" s="1759"/>
      <c r="AI56" s="1759"/>
      <c r="AJ56" s="1759"/>
      <c r="AK56" s="1759"/>
      <c r="AL56" s="1759"/>
      <c r="AM56" s="1759"/>
      <c r="AN56" s="1759"/>
      <c r="AO56" s="1759"/>
      <c r="AP56" s="1759"/>
      <c r="AQ56" s="1759"/>
      <c r="AR56" s="1759"/>
      <c r="AS56" s="1759"/>
      <c r="AT56" s="1759"/>
      <c r="AU56" s="1760" t="str">
        <f>AX52&amp;"-"&amp;AZ52</f>
        <v>-</v>
      </c>
      <c r="AV56" s="1759"/>
      <c r="AW56" s="1760" t="str">
        <f>AZ52&amp;"-"&amp;BB52</f>
        <v>-</v>
      </c>
      <c r="AX56" s="1759"/>
      <c r="AY56" s="1759"/>
      <c r="AZ56" s="1759"/>
      <c r="BA56" s="1759"/>
      <c r="BB56" s="1762" t="str">
        <f>BE52&amp;"-"&amp;BG52</f>
        <v>-</v>
      </c>
      <c r="BC56" s="2558"/>
      <c r="BE56" s="861"/>
      <c r="BF56" s="861" t="str">
        <f>IF(T56="","",T56)</f>
        <v/>
      </c>
      <c r="BG56" s="861"/>
      <c r="BH56" s="861"/>
    </row>
    <row customHeight="1" ht="11.25">
      <c r="A57" s="1729" t="s">
        <v>302</v>
      </c>
      <c r="B57" s="1729" t="s">
        <v>303</v>
      </c>
      <c r="C57" s="1729" t="s">
        <v>304</v>
      </c>
      <c r="D57" s="1729" t="s">
        <v>585</v>
      </c>
      <c r="E57" s="2528"/>
      <c r="F57" s="2528"/>
      <c r="G57" s="2528"/>
      <c r="H57" s="2528"/>
      <c r="I57" s="2530"/>
      <c r="J57" s="2529"/>
      <c r="K57" s="1729"/>
      <c r="L57" s="1730"/>
      <c r="P57" s="2531"/>
      <c r="Q57" s="2531"/>
      <c r="R57" s="717"/>
      <c r="S57" s="1644"/>
      <c r="T57" s="648" t="s">
        <v>506</v>
      </c>
      <c r="U57" s="728"/>
      <c r="V57" s="728"/>
      <c r="W57" s="728"/>
      <c r="X57" s="728"/>
      <c r="Y57" s="728"/>
      <c r="Z57" s="728"/>
      <c r="AA57" s="728"/>
      <c r="AB57" s="728"/>
      <c r="AC57" s="685"/>
      <c r="AD57" s="1871"/>
      <c r="AE57" s="728"/>
      <c r="AF57" s="728"/>
      <c r="AG57" s="728"/>
      <c r="AH57" s="728"/>
      <c r="AI57" s="728"/>
      <c r="AJ57" s="728"/>
      <c r="AK57" s="728"/>
      <c r="AL57" s="728"/>
      <c r="AM57" s="728"/>
      <c r="AN57" s="728"/>
      <c r="AO57" s="728"/>
      <c r="AP57" s="728"/>
      <c r="AQ57" s="728"/>
      <c r="AR57" s="728"/>
      <c r="AS57" s="728"/>
      <c r="AT57" s="728"/>
      <c r="AU57" s="728"/>
      <c r="AV57" s="728"/>
      <c r="AW57" s="728"/>
      <c r="AX57" s="728"/>
      <c r="AY57" s="728"/>
      <c r="AZ57" s="728"/>
      <c r="BA57" s="728"/>
      <c r="BB57" s="685"/>
      <c r="BC57" s="2559"/>
      <c r="BE57" s="861"/>
      <c r="BF57" s="861" t="str">
        <f>IF(T57="","",T57)</f>
        <v>Добавить строку</v>
      </c>
      <c r="BG57" s="861"/>
      <c r="BH57" s="861"/>
    </row>
    <row s="32289" customFormat="1" customHeight="1" ht="0">
      <c r="A58" s="1709" t="s">
        <v>302</v>
      </c>
      <c r="B58" s="1709" t="s">
        <v>303</v>
      </c>
      <c r="C58" s="1709" t="s">
        <v>304</v>
      </c>
      <c r="D58" s="1709" t="s">
        <v>585</v>
      </c>
      <c r="E58" s="2528"/>
      <c r="F58" s="2528"/>
      <c r="G58" s="2528"/>
      <c r="H58" s="2528"/>
      <c r="I58" s="2529"/>
      <c r="J58" s="1709"/>
      <c r="K58" s="1709"/>
      <c r="L58" s="1712"/>
      <c r="M58" s="871"/>
      <c r="N58" s="871"/>
      <c r="O58" s="871"/>
      <c r="P58" s="2531"/>
      <c r="Q58" s="1847"/>
      <c r="R58" s="717"/>
      <c r="S58" s="1752"/>
      <c r="T58" s="1753"/>
      <c r="U58" s="1754"/>
      <c r="V58" s="1754"/>
      <c r="W58" s="1754"/>
      <c r="X58" s="1754"/>
      <c r="Y58" s="1754"/>
      <c r="Z58" s="1754"/>
      <c r="AA58" s="1754"/>
      <c r="AB58" s="1754"/>
      <c r="AC58" s="1754"/>
      <c r="AD58" s="1754"/>
      <c r="AE58" s="1754"/>
      <c r="AF58" s="1754"/>
      <c r="AG58" s="1754"/>
      <c r="AH58" s="1754"/>
      <c r="AI58" s="1754"/>
      <c r="AJ58" s="1754"/>
      <c r="AK58" s="1754"/>
      <c r="AL58" s="1754"/>
      <c r="AM58" s="1754"/>
      <c r="AN58" s="1754"/>
      <c r="AO58" s="1754"/>
      <c r="AP58" s="1754"/>
      <c r="AQ58" s="1754"/>
      <c r="AR58" s="1754"/>
      <c r="AS58" s="1754"/>
      <c r="AT58" s="1754"/>
      <c r="AU58" s="1754"/>
      <c r="AV58" s="1754"/>
      <c r="AW58" s="1754"/>
      <c r="AX58" s="1754"/>
      <c r="AY58" s="1754"/>
      <c r="AZ58" s="1754"/>
      <c r="BA58" s="1754"/>
      <c r="BB58" s="1754"/>
      <c r="BC58" s="1755"/>
      <c r="BE58" s="861"/>
      <c r="BF58" s="861" t="str">
        <f>IF(T58="","",T58)</f>
        <v/>
      </c>
      <c r="BG58" s="861"/>
      <c r="BH58" s="861"/>
    </row>
    <row s="32289" customFormat="1" customHeight="1" ht="0">
      <c r="A59" s="1709" t="s">
        <v>302</v>
      </c>
      <c r="B59" s="1709" t="s">
        <v>303</v>
      </c>
      <c r="C59" s="1709" t="s">
        <v>304</v>
      </c>
      <c r="D59" s="1709" t="s">
        <v>585</v>
      </c>
      <c r="E59" s="2528"/>
      <c r="F59" s="2528"/>
      <c r="G59" s="2528"/>
      <c r="H59" s="2527"/>
      <c r="I59" s="1709"/>
      <c r="J59" s="1709"/>
      <c r="K59" s="1709"/>
      <c r="L59" s="1712"/>
      <c r="M59" s="1681"/>
      <c r="N59" s="1681"/>
      <c r="O59" s="879"/>
      <c r="P59" s="741"/>
      <c r="Q59" s="1710"/>
      <c r="R59" s="1767"/>
      <c r="S59" s="1752"/>
      <c r="T59" s="1753"/>
      <c r="U59" s="1754"/>
      <c r="V59" s="1754"/>
      <c r="W59" s="1754"/>
      <c r="X59" s="1754"/>
      <c r="Y59" s="1754"/>
      <c r="Z59" s="1754"/>
      <c r="AA59" s="1754"/>
      <c r="AB59" s="1754"/>
      <c r="AC59" s="1754"/>
      <c r="AD59" s="1754"/>
      <c r="AE59" s="1754"/>
      <c r="AF59" s="1754"/>
      <c r="AG59" s="1754"/>
      <c r="AH59" s="1754"/>
      <c r="AI59" s="1754"/>
      <c r="AJ59" s="1754"/>
      <c r="AK59" s="1754"/>
      <c r="AL59" s="1754"/>
      <c r="AM59" s="1754"/>
      <c r="AN59" s="1754"/>
      <c r="AO59" s="1754"/>
      <c r="AP59" s="1754"/>
      <c r="AQ59" s="1754"/>
      <c r="AR59" s="1754"/>
      <c r="AS59" s="1754"/>
      <c r="AT59" s="1754"/>
      <c r="AU59" s="1754"/>
      <c r="AV59" s="1754"/>
      <c r="AW59" s="1754"/>
      <c r="AX59" s="1754"/>
      <c r="AY59" s="1754"/>
      <c r="AZ59" s="1754"/>
      <c r="BA59" s="1754"/>
      <c r="BB59" s="1754"/>
      <c r="BC59" s="1755"/>
      <c r="BE59" s="861"/>
      <c r="BF59" s="861" t="str">
        <f>IF(T59="","",T59)</f>
        <v/>
      </c>
      <c r="BG59" s="861"/>
      <c r="BH59" s="861"/>
    </row>
    <row s="32198" customFormat="1" customHeight="1" ht="0">
      <c r="A60" s="1709" t="s">
        <v>302</v>
      </c>
      <c r="B60" s="1709" t="s">
        <v>303</v>
      </c>
      <c r="C60" s="1709" t="s">
        <v>304</v>
      </c>
      <c r="D60" s="1680"/>
      <c r="E60" s="2528"/>
      <c r="F60" s="2528"/>
      <c r="G60" s="2527"/>
      <c r="H60" s="1680"/>
      <c r="I60" s="1680"/>
      <c r="J60" s="1680"/>
      <c r="K60" s="1680"/>
      <c r="L60" s="1860"/>
      <c r="M60" s="1681"/>
      <c r="N60" s="1681"/>
      <c r="P60" s="1682"/>
      <c r="Q60" s="1683"/>
      <c r="R60" s="1682"/>
      <c r="S60" s="1688"/>
      <c r="T60" s="1691"/>
      <c r="U60" s="1690"/>
      <c r="V60" s="1690"/>
      <c r="W60" s="1690"/>
      <c r="X60" s="1690"/>
      <c r="Y60" s="1690"/>
      <c r="Z60" s="1690"/>
      <c r="AA60" s="1690"/>
      <c r="AB60" s="1690"/>
      <c r="AC60" s="1690"/>
      <c r="AD60" s="1690"/>
      <c r="AE60" s="1690"/>
      <c r="AF60" s="1690"/>
      <c r="AG60" s="1690"/>
      <c r="AH60" s="1690"/>
      <c r="AI60" s="1690"/>
      <c r="AJ60" s="1690"/>
      <c r="AK60" s="1690"/>
      <c r="AL60" s="1690"/>
      <c r="AM60" s="1690"/>
      <c r="AN60" s="1690"/>
      <c r="AO60" s="1690"/>
      <c r="AP60" s="1690"/>
      <c r="AQ60" s="1690"/>
      <c r="AR60" s="1690"/>
      <c r="AS60" s="1690"/>
      <c r="AT60" s="1690"/>
      <c r="AU60" s="1690"/>
      <c r="AV60" s="1690"/>
      <c r="AW60" s="1690"/>
      <c r="AX60" s="1690"/>
      <c r="AY60" s="1690"/>
      <c r="AZ60" s="1690"/>
      <c r="BA60" s="1690"/>
      <c r="BB60" s="1690"/>
      <c r="BC60" s="1690"/>
      <c r="BE60" s="1150"/>
      <c r="BF60" s="1150" t="str">
        <f>IF(T60="","",T60)</f>
        <v/>
      </c>
      <c r="BG60" s="1150"/>
      <c r="BH60" s="1150"/>
    </row>
    <row s="32198" customFormat="1" customHeight="1" ht="0">
      <c r="A61" s="1709" t="s">
        <v>302</v>
      </c>
      <c r="B61" s="1709" t="s">
        <v>303</v>
      </c>
      <c r="C61" s="1680"/>
      <c r="D61" s="1680"/>
      <c r="E61" s="2528"/>
      <c r="F61" s="2527"/>
      <c r="G61" s="1680"/>
      <c r="H61" s="1680"/>
      <c r="I61" s="1680"/>
      <c r="J61" s="1680"/>
      <c r="K61" s="1680"/>
      <c r="L61" s="1860"/>
      <c r="M61" s="1687"/>
      <c r="N61" s="1687"/>
      <c r="P61" s="1682"/>
      <c r="Q61" s="1683"/>
      <c r="R61" s="1682"/>
      <c r="S61" s="1688"/>
      <c r="T61" s="1691" t="s">
        <v>262</v>
      </c>
      <c r="U61" s="1690"/>
      <c r="V61" s="1690"/>
      <c r="W61" s="1690"/>
      <c r="X61" s="1690"/>
      <c r="Y61" s="1690"/>
      <c r="Z61" s="1690"/>
      <c r="AA61" s="1690"/>
      <c r="AB61" s="1690"/>
      <c r="AC61" s="1690"/>
      <c r="AD61" s="1690"/>
      <c r="AE61" s="1690"/>
      <c r="AF61" s="1690"/>
      <c r="AG61" s="1690"/>
      <c r="AH61" s="1690"/>
      <c r="AI61" s="1690"/>
      <c r="AJ61" s="1690"/>
      <c r="AK61" s="1690"/>
      <c r="AL61" s="1690"/>
      <c r="AM61" s="1690"/>
      <c r="AN61" s="1690"/>
      <c r="AO61" s="1690"/>
      <c r="AP61" s="1690"/>
      <c r="AQ61" s="1690"/>
      <c r="AR61" s="1690"/>
      <c r="AS61" s="1690"/>
      <c r="AT61" s="1690"/>
      <c r="AU61" s="1690"/>
      <c r="AV61" s="1690"/>
      <c r="AW61" s="1690"/>
      <c r="AX61" s="1690"/>
      <c r="AY61" s="1690"/>
      <c r="AZ61" s="1690"/>
      <c r="BA61" s="1690"/>
      <c r="BB61" s="1690"/>
      <c r="BC61" s="1690"/>
      <c r="BE61" s="1150"/>
      <c r="BF61" s="1150" t="str">
        <f>IF(T61="","",T61)</f>
        <v>Добавить централизованную систему для дифференциации</v>
      </c>
      <c r="BG61" s="1150"/>
      <c r="BH61" s="1150"/>
    </row>
    <row s="32289" customFormat="1" customHeight="1" ht="0">
      <c r="A62" s="1709" t="s">
        <v>302</v>
      </c>
      <c r="B62" s="1709"/>
      <c r="C62" s="1709"/>
      <c r="D62" s="1709"/>
      <c r="E62" s="2527"/>
      <c r="F62" s="1709"/>
      <c r="G62" s="1709"/>
      <c r="H62" s="1709"/>
      <c r="I62" s="1709"/>
      <c r="J62" s="1709"/>
      <c r="K62" s="1709"/>
      <c r="L62" s="1712"/>
      <c r="M62" s="1687"/>
      <c r="N62" s="1687"/>
      <c r="O62" s="879"/>
      <c r="P62" s="741"/>
      <c r="Q62" s="1710"/>
      <c r="R62" s="741"/>
      <c r="S62" s="1688"/>
      <c r="T62" s="1691" t="s">
        <v>270</v>
      </c>
      <c r="U62" s="1690"/>
      <c r="V62" s="1690"/>
      <c r="W62" s="1690"/>
      <c r="X62" s="1690"/>
      <c r="Y62" s="1690"/>
      <c r="Z62" s="1690"/>
      <c r="AA62" s="1690"/>
      <c r="AB62" s="1690"/>
      <c r="AC62" s="1690"/>
      <c r="AD62" s="1690"/>
      <c r="AE62" s="1690"/>
      <c r="AF62" s="1690"/>
      <c r="AG62" s="1690"/>
      <c r="AH62" s="1690"/>
      <c r="AI62" s="1690"/>
      <c r="AJ62" s="1690"/>
      <c r="AK62" s="1690"/>
      <c r="AL62" s="1690"/>
      <c r="AM62" s="1690"/>
      <c r="AN62" s="1690"/>
      <c r="AO62" s="1690"/>
      <c r="AP62" s="1690"/>
      <c r="AQ62" s="1690"/>
      <c r="AR62" s="1690"/>
      <c r="AS62" s="1690"/>
      <c r="AT62" s="1690"/>
      <c r="AU62" s="1690"/>
      <c r="AV62" s="1690"/>
      <c r="AW62" s="1690"/>
      <c r="AX62" s="1690"/>
      <c r="AY62" s="1690"/>
      <c r="AZ62" s="1690"/>
      <c r="BA62" s="1690"/>
      <c r="BB62" s="1690"/>
      <c r="BC62" s="1690"/>
      <c r="BE62" s="861"/>
      <c r="BF62" s="861" t="str">
        <f>IF(T62="","",T62)</f>
        <v>Добавить территорию для дифференциации</v>
      </c>
      <c r="BG62" s="861"/>
      <c r="BH62" s="861"/>
    </row>
    <row s="32198" customFormat="1" customHeight="1" ht="0">
      <c r="A63" s="1680"/>
      <c r="B63" s="1680"/>
      <c r="C63" s="1680"/>
      <c r="D63" s="1680"/>
      <c r="E63" s="1709"/>
      <c r="F63" s="1680"/>
      <c r="G63" s="1680"/>
      <c r="H63" s="1680"/>
      <c r="I63" s="1680"/>
      <c r="J63" s="1680"/>
      <c r="K63" s="1680"/>
      <c r="L63" s="1860"/>
      <c r="M63" s="1687"/>
      <c r="N63" s="1687"/>
      <c r="P63" s="1682"/>
      <c r="Q63" s="1683"/>
      <c r="R63" s="1682"/>
      <c r="S63" s="1688"/>
      <c r="T63" s="1691" t="s">
        <v>294</v>
      </c>
      <c r="U63" s="1690"/>
      <c r="V63" s="1690"/>
      <c r="W63" s="1690"/>
      <c r="X63" s="1690"/>
      <c r="Y63" s="1690"/>
      <c r="Z63" s="1690"/>
      <c r="AA63" s="1690"/>
      <c r="AB63" s="1690"/>
      <c r="AC63" s="1690"/>
      <c r="AD63" s="1690"/>
      <c r="AE63" s="1690"/>
      <c r="AF63" s="1690"/>
      <c r="AG63" s="1690"/>
      <c r="AH63" s="1690"/>
      <c r="AI63" s="1690"/>
      <c r="AJ63" s="1690"/>
      <c r="AK63" s="1690"/>
      <c r="AL63" s="1690"/>
      <c r="AM63" s="1690"/>
      <c r="AN63" s="1690"/>
      <c r="AO63" s="1690"/>
      <c r="AP63" s="1690"/>
      <c r="AQ63" s="1690"/>
      <c r="AR63" s="1690"/>
      <c r="AS63" s="1690"/>
      <c r="AT63" s="1690"/>
      <c r="AU63" s="1690"/>
      <c r="AV63" s="1690"/>
      <c r="AW63" s="1690"/>
      <c r="AX63" s="1690"/>
      <c r="AY63" s="1690"/>
      <c r="AZ63" s="1690"/>
      <c r="BA63" s="1690"/>
      <c r="BB63" s="1690"/>
      <c r="BC63" s="1690"/>
      <c r="BE63" s="1150"/>
      <c r="BF63" s="1150" t="str">
        <f>IF(T63="","",T63)</f>
        <v>Добавить наименование тарифа</v>
      </c>
      <c r="BG63" s="1150"/>
      <c r="BH63" s="1150"/>
    </row>
    <row customHeight="1" ht="11.25">
      <c r="M64" s="1523"/>
      <c r="N64" s="1523"/>
      <c r="O64" s="898"/>
      <c r="P64" s="1523"/>
      <c r="Q64" s="1523"/>
      <c r="R64" s="1518"/>
      <c r="S64" s="1518"/>
      <c r="BD64" s="1518"/>
      <c r="BE64" s="1518"/>
      <c r="BF64" s="1518"/>
      <c r="BG64" s="1518"/>
      <c r="BH64" s="1518"/>
    </row>
    <row customHeight="1" ht="18.75">
      <c r="O65" s="898"/>
      <c r="S65" s="1618"/>
      <c r="T65" s="2526"/>
      <c r="U65" s="2526"/>
      <c r="V65" s="2526"/>
      <c r="W65" s="2526"/>
      <c r="X65" s="2526"/>
      <c r="Y65" s="2526"/>
      <c r="Z65" s="2526"/>
      <c r="AA65" s="2526"/>
      <c r="AB65" s="2526"/>
      <c r="AC65" s="2526"/>
      <c r="AD65" s="2526"/>
      <c r="AE65" s="2526"/>
      <c r="AF65" s="2526"/>
      <c r="AG65" s="2526"/>
      <c r="AH65" s="2526"/>
      <c r="AI65" s="2526"/>
      <c r="AJ65" s="2526"/>
      <c r="AK65" s="2526"/>
      <c r="AL65" s="2526"/>
      <c r="AM65" s="2526"/>
      <c r="AN65" s="2526"/>
      <c r="AO65" s="2526"/>
      <c r="AP65" s="2526"/>
      <c r="AQ65" s="2526"/>
      <c r="AR65" s="2526"/>
      <c r="AS65" s="2526"/>
      <c r="AT65" s="2526"/>
      <c r="AU65" s="2526"/>
      <c r="AV65" s="2526"/>
      <c r="AW65" s="2526"/>
      <c r="AX65" s="2526"/>
      <c r="AY65" s="2526"/>
      <c r="AZ65" s="2526"/>
      <c r="BA65" s="2526"/>
      <c r="BB65" s="2526"/>
      <c r="BC65" s="2526"/>
    </row>
    <row customHeight="1" ht="14.25">
      <c r="O66" s="898"/>
      <c r="T66" s="1846"/>
      <c r="U66" s="1846"/>
      <c r="V66" s="1846"/>
      <c r="W66" s="1846"/>
      <c r="X66" s="1846"/>
      <c r="Y66" s="1846"/>
      <c r="Z66" s="1846"/>
      <c r="AA66" s="1846"/>
      <c r="AB66" s="1846"/>
      <c r="AC66" s="1846"/>
      <c r="AD66" s="1846"/>
      <c r="AE66" s="1846"/>
      <c r="AF66" s="1846"/>
      <c r="AG66" s="1846"/>
      <c r="AH66" s="1846"/>
      <c r="AI66" s="1846"/>
      <c r="AJ66" s="1846"/>
      <c r="AK66" s="1846"/>
      <c r="AL66" s="1846"/>
      <c r="AM66" s="1846"/>
      <c r="AN66" s="1846"/>
      <c r="AO66" s="1846"/>
      <c r="AP66" s="1846"/>
      <c r="AQ66" s="1846"/>
      <c r="AR66" s="1846"/>
      <c r="AS66" s="1846"/>
      <c r="AT66" s="1846"/>
      <c r="AU66" s="1846"/>
      <c r="AV66" s="1846"/>
      <c r="AW66" s="1846"/>
      <c r="AX66" s="1846"/>
      <c r="AY66" s="1846"/>
      <c r="AZ66" s="1846"/>
      <c r="BA66" s="1846"/>
      <c r="BB66" s="1846"/>
      <c r="BC66" s="1846"/>
    </row>
    <row customHeight="1" ht="18.75">
      <c r="O67" s="898"/>
      <c r="S67" s="1618"/>
      <c r="T67" s="2526"/>
      <c r="U67" s="2526"/>
      <c r="V67" s="2526"/>
      <c r="W67" s="2526"/>
      <c r="X67" s="2526"/>
      <c r="Y67" s="2526"/>
      <c r="Z67" s="2526"/>
      <c r="AA67" s="2526"/>
      <c r="AB67" s="2526"/>
      <c r="AC67" s="2526"/>
      <c r="AD67" s="2526"/>
      <c r="AE67" s="2526"/>
      <c r="AF67" s="2526"/>
      <c r="AG67" s="2526"/>
      <c r="AH67" s="2526"/>
      <c r="AI67" s="2526"/>
      <c r="AJ67" s="2526"/>
      <c r="AK67" s="2526"/>
      <c r="AL67" s="2526"/>
      <c r="AM67" s="2526"/>
      <c r="AN67" s="2526"/>
      <c r="AO67" s="2526"/>
      <c r="AP67" s="2526"/>
      <c r="AQ67" s="2526"/>
      <c r="AR67" s="2526"/>
      <c r="AS67" s="2526"/>
      <c r="AT67" s="2526"/>
      <c r="AU67" s="2526"/>
      <c r="AV67" s="2526"/>
      <c r="AW67" s="2526"/>
      <c r="AX67" s="2526"/>
      <c r="AY67" s="2526"/>
      <c r="AZ67" s="2526"/>
      <c r="BA67" s="2526"/>
      <c r="BB67" s="2526"/>
      <c r="BC67" s="2526"/>
    </row>
    <row customHeight="1" ht="14.25">
      <c r="O68" s="898"/>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7CA49-1658-9CA1-1D62-1480AF721666}"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36868" width="10.7109375" hidden="1" customWidth="1"/>
    <col min="2" max="2" style="32217" width="16.8515625" hidden="1" customWidth="1"/>
    <col min="3" max="3" style="32341" width="5.57421875" hidden="1" customWidth="1"/>
    <col min="4" max="4" style="36869" width="3.7109375" customWidth="1"/>
    <col min="5" max="5" style="32343" width="7.7109375" customWidth="1"/>
    <col min="6" max="6" style="32343" width="54.57421875" customWidth="1"/>
    <col min="7" max="7" style="32343" width="10.421875" customWidth="1"/>
    <col min="8" max="8" style="32343" width="40.7109375" hidden="1" customWidth="1"/>
    <col min="9" max="9" style="32343" width="40.7109375" customWidth="1"/>
    <col min="10" max="10" style="32343" width="102.8515625" customWidth="1"/>
    <col min="11" max="11" style="32217" width="9.7109375" customWidth="1"/>
    <col min="12" max="12" style="32341" width="5.28125" customWidth="1"/>
    <col min="13" max="13" style="32341" width="3.7109375" customWidth="1"/>
    <col min="14" max="17" style="32217" width="3.7109375" customWidth="1"/>
    <col min="18" max="18" style="32341" width="10.57421875" customWidth="1"/>
    <col min="19" max="19" style="32217" width="34.7109375" customWidth="1"/>
    <col min="20" max="20" style="32217" width="9.421875" customWidth="1"/>
    <col min="21" max="21" style="36870" width="9.140625"/>
    <col min="22" max="26" style="32217" width="9.140625"/>
    <col min="27" max="31" style="36772" width="9.140625"/>
  </cols>
  <sheetData>
    <row customHeight="1" ht="11.25" hidden="1"/>
    <row customHeight="1" ht="23.25" hidden="1">
      <c r="B2" s="2374"/>
      <c r="C2" s="1530" t="s">
        <v>586</v>
      </c>
      <c r="D2" s="2004"/>
      <c r="E2" s="907">
        <f>B2</f>
        <v>0</v>
      </c>
      <c r="F2" s="908"/>
      <c r="G2" s="2012" t="s">
        <v>587</v>
      </c>
      <c r="H2" s="2012" t="s">
        <v>587</v>
      </c>
      <c r="I2" s="2012" t="s">
        <v>587</v>
      </c>
      <c r="J2" s="650" t="s">
        <v>588</v>
      </c>
      <c r="K2" s="904"/>
    </row>
    <row s="32341" customFormat="1" customHeight="1" ht="0.75" hidden="1">
      <c r="B3" s="2374"/>
      <c r="C3" s="1530"/>
      <c r="D3" s="909"/>
      <c r="E3" s="910"/>
      <c r="F3" s="911" t="s">
        <v>589</v>
      </c>
      <c r="G3" s="912"/>
      <c r="H3" s="912">
        <f>H4*H5+H7</f>
        <v>0</v>
      </c>
      <c r="I3" s="912">
        <f>I4*I5+I6</f>
        <v>0</v>
      </c>
      <c r="J3" s="913"/>
    </row>
    <row customHeight="1" ht="23.25" hidden="1">
      <c r="B4" s="2374"/>
      <c r="C4" s="1530"/>
      <c r="D4" s="2004"/>
      <c r="E4" s="907" t="str">
        <f>B2&amp;".1"</f>
        <v>.1</v>
      </c>
      <c r="F4" s="914" t="s">
        <v>590</v>
      </c>
      <c r="G4" s="915"/>
      <c r="H4" s="902"/>
      <c r="I4" s="902"/>
      <c r="J4" s="650" t="s">
        <v>591</v>
      </c>
      <c r="K4" s="904"/>
    </row>
    <row customHeight="1" ht="18.75" hidden="1">
      <c r="B5" s="2374"/>
      <c r="C5" s="1530"/>
      <c r="D5" s="2004"/>
      <c r="E5" s="907" t="str">
        <f>B2&amp;".2"</f>
        <v>.2</v>
      </c>
      <c r="F5" s="914" t="s">
        <v>592</v>
      </c>
      <c r="G5" s="2012" t="s">
        <v>593</v>
      </c>
      <c r="H5" s="902"/>
      <c r="I5" s="902"/>
      <c r="J5" s="650"/>
      <c r="K5" s="904"/>
    </row>
    <row customHeight="1" ht="18.75" hidden="1">
      <c r="B6" s="2374"/>
      <c r="C6" s="1530"/>
      <c r="D6" s="2004"/>
      <c r="E6" s="907" t="str">
        <f>B2&amp;".3"</f>
        <v>.3</v>
      </c>
      <c r="F6" s="914" t="s">
        <v>594</v>
      </c>
      <c r="G6" s="2012" t="s">
        <v>593</v>
      </c>
      <c r="H6" s="902"/>
      <c r="I6" s="902"/>
      <c r="J6" s="650"/>
      <c r="K6" s="904"/>
    </row>
    <row customHeight="1" ht="18.75" hidden="1">
      <c r="B7" s="2374"/>
      <c r="C7" s="1530"/>
      <c r="D7" s="2004"/>
      <c r="E7" s="907" t="str">
        <f>B2&amp;".4"</f>
        <v>.4</v>
      </c>
      <c r="F7" s="914" t="s">
        <v>595</v>
      </c>
      <c r="G7" s="2012" t="s">
        <v>587</v>
      </c>
      <c r="H7" s="916"/>
      <c r="I7" s="916"/>
      <c r="J7" s="650"/>
      <c r="K7" s="904"/>
    </row>
    <row s="32217" customFormat="1" customHeight="1" ht="11.25" hidden="1">
      <c r="A8" s="1349"/>
      <c r="C8" s="2002"/>
      <c r="D8" s="898"/>
      <c r="H8" s="1523">
        <v>4</v>
      </c>
      <c r="I8" s="1523">
        <v>4</v>
      </c>
      <c r="L8" s="2002"/>
      <c r="M8" s="2002"/>
      <c r="R8" s="2002"/>
    </row>
    <row s="32217" customFormat="1" customHeight="1" ht="22.5" hidden="1">
      <c r="A9" s="1349"/>
      <c r="C9" s="2002"/>
      <c r="D9" s="899"/>
      <c r="E9" s="2014"/>
      <c r="F9" s="901"/>
      <c r="G9" s="2012" t="s">
        <v>593</v>
      </c>
      <c r="H9" s="902"/>
      <c r="I9" s="902"/>
      <c r="J9" s="903" t="s">
        <v>596</v>
      </c>
      <c r="K9" s="904"/>
      <c r="L9" s="2002"/>
      <c r="M9" s="2002"/>
      <c r="R9" s="2002"/>
      <c r="U9" s="905"/>
      <c r="AA9" s="1998"/>
      <c r="AB9" s="1998"/>
      <c r="AC9" s="1998"/>
      <c r="AD9" s="1998"/>
      <c r="AE9" s="1998"/>
    </row>
    <row customHeight="1" ht="11.25" hidden="1"/>
    <row customHeight="1" ht="18.75" hidden="1">
      <c r="D11" s="2004"/>
      <c r="E11" s="907"/>
      <c r="F11" s="901"/>
      <c r="G11" s="2012" t="s">
        <v>597</v>
      </c>
      <c r="H11" s="902"/>
      <c r="I11" s="902"/>
      <c r="J11" s="650" t="s">
        <v>598</v>
      </c>
      <c r="K11" s="904"/>
    </row>
    <row customHeight="1" ht="11.25" hidden="1"/>
    <row customHeight="1" ht="22.5" hidden="1">
      <c r="D13" s="2004"/>
      <c r="E13" s="907"/>
      <c r="F13" s="901"/>
      <c r="G13" s="1331" t="s">
        <v>599</v>
      </c>
      <c r="H13" s="906"/>
      <c r="I13" s="906"/>
      <c r="J13" s="1106" t="s">
        <v>600</v>
      </c>
      <c r="K13" s="904"/>
    </row>
    <row customHeight="1" ht="11.25" hidden="1"/>
    <row customHeight="1" ht="22.5" hidden="1">
      <c r="D15" s="2004"/>
      <c r="E15" s="907"/>
      <c r="F15" s="901"/>
      <c r="G15" s="2012" t="s">
        <v>601</v>
      </c>
      <c r="H15" s="906"/>
      <c r="I15" s="906"/>
      <c r="J15" s="650" t="s">
        <v>602</v>
      </c>
      <c r="K15" s="904"/>
    </row>
    <row customHeight="1" ht="11.25" hidden="1"/>
    <row customHeight="1" ht="22.5" hidden="1">
      <c r="D17" s="2004"/>
      <c r="E17" s="907"/>
      <c r="F17" s="901"/>
      <c r="G17" s="2012" t="s">
        <v>603</v>
      </c>
      <c r="H17" s="906"/>
      <c r="I17" s="906"/>
      <c r="J17" s="650" t="s">
        <v>604</v>
      </c>
      <c r="K17" s="904"/>
    </row>
    <row customHeight="1" ht="11.25" hidden="1"/>
    <row s="36772" customFormat="1" customHeight="1" ht="11.25" hidden="1">
      <c r="A19" s="1349"/>
      <c r="B19" s="1523"/>
      <c r="C19" s="2002"/>
      <c r="D19" s="723"/>
      <c r="J19" s="1998">
        <v>4</v>
      </c>
      <c r="K19" s="1523"/>
      <c r="L19" s="2002"/>
      <c r="M19" s="2002"/>
      <c r="N19" s="1523"/>
      <c r="O19" s="1523"/>
      <c r="P19" s="1523"/>
      <c r="Q19" s="1523"/>
      <c r="R19" s="2002"/>
      <c r="S19" s="1523"/>
      <c r="T19" s="1523"/>
      <c r="U19" s="905"/>
      <c r="V19" s="1523"/>
      <c r="W19" s="1523"/>
      <c r="X19" s="1523"/>
      <c r="Y19" s="1523"/>
      <c r="Z19" s="1523"/>
    </row>
    <row r="21" customHeight="1" ht="24">
      <c r="E21" s="2560"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560"/>
      <c r="G21" s="2560"/>
      <c r="H21" s="2560"/>
      <c r="I21" s="2560"/>
      <c r="J21" s="917"/>
    </row>
    <row customHeight="1" ht="24">
      <c r="E22" s="2561" t="str">
        <f>IF(org=0,"Не определено",org)</f>
        <v>АО "Мурманэнергосбыт"</v>
      </c>
      <c r="F22" s="2561"/>
      <c r="G22" s="2561"/>
      <c r="H22" s="2561"/>
      <c r="I22" s="2561"/>
    </row>
    <row customHeight="1" ht="11.25">
      <c r="E23" s="1498"/>
      <c r="F23" s="1498"/>
      <c r="G23" s="1498"/>
      <c r="H23" s="1498"/>
      <c r="I23" s="1498"/>
    </row>
    <row s="32341" customFormat="1" customHeight="1" ht="0.75">
      <c r="A24" s="1530"/>
      <c r="D24" s="2008"/>
      <c r="H24" s="1250"/>
      <c r="I24" s="1250" t="s">
        <v>125</v>
      </c>
    </row>
    <row customHeight="1" ht="11.25">
      <c r="E25" s="1072"/>
      <c r="F25" s="2636" t="s">
        <v>114</v>
      </c>
      <c r="G25" s="2637"/>
      <c r="H25" s="2018" t="str">
        <f>IF(H24="","",INDEX(DIFFERENTIATION_UNMERGE_VD,MATCH(H24,DIFFERENTIATION_ID_DIFF,0)))</f>
        <v/>
      </c>
      <c r="I25" s="2018">
        <f>IF(I24="","",INDEX(DIFFERENTIATION_UNMERGE_VD,MATCH(I24,DIFFERENTIATION_ID_DIFF,0)))</f>
        <v>0</v>
      </c>
      <c r="J25" s="2392"/>
    </row>
    <row customHeight="1" ht="11.25">
      <c r="E26" s="1072"/>
      <c r="F26" s="2636" t="s">
        <v>605</v>
      </c>
      <c r="G26" s="2637"/>
      <c r="H26" s="2018" t="str">
        <f>IF(H24="","",INDEX(DIFFERENTIATION_UNMERGE_AREA,MATCH(H24,DIFFERENTIATION_ID_DIFF,0)))</f>
        <v/>
      </c>
      <c r="I26" s="2018" t="str">
        <f>IF(I24="","",INDEX(DIFFERENTIATION_UNMERGE_AREA,MATCH(I24,DIFFERENTIATION_ID_DIFF,0)))</f>
        <v/>
      </c>
      <c r="J26" s="2392"/>
    </row>
    <row customHeight="1" ht="11.25">
      <c r="E27" s="1072"/>
      <c r="F27" s="2636" t="s">
        <v>606</v>
      </c>
      <c r="G27" s="2637"/>
      <c r="H27" s="2018" t="str">
        <f>IF(H24="","",INDEX(DIFFERENTIATION_UNMERGE_SYSTEM,MATCH(H24,DIFFERENTIATION_ID_DIFF,0)))</f>
        <v/>
      </c>
      <c r="I27" s="2018" t="str">
        <f>IF(I24="","",INDEX(DIFFERENTIATION_UNMERGE_SYSTEM,MATCH(I24,DIFFERENTIATION_ID_DIFF,0)))</f>
        <v>без дифференциации</v>
      </c>
      <c r="J27" s="2392"/>
    </row>
    <row customHeight="1" ht="11.25">
      <c r="E28" s="2638" t="s">
        <v>341</v>
      </c>
      <c r="F28" s="2639"/>
      <c r="G28" s="2639"/>
      <c r="H28" s="2011"/>
      <c r="I28" s="2011"/>
      <c r="J28" s="2392"/>
    </row>
    <row customHeight="1" ht="22.5">
      <c r="E29" s="2012" t="s">
        <v>87</v>
      </c>
      <c r="F29" s="2019" t="s">
        <v>343</v>
      </c>
      <c r="G29" s="2019" t="s">
        <v>607</v>
      </c>
      <c r="H29" s="2019" t="s">
        <v>344</v>
      </c>
      <c r="I29" s="2019" t="s">
        <v>344</v>
      </c>
      <c r="J29" s="2392"/>
    </row>
    <row customHeight="1" ht="18.75">
      <c r="D30" s="2004"/>
      <c r="E30" s="907">
        <f>FHD_NUM_P_1</f>
        <v>1</v>
      </c>
      <c r="F30" s="2247" t="str">
        <f>FHD_P_1</f>
        <v>Выручка от регулируемых видов деятельности в сфере горячего водоснабжения</v>
      </c>
      <c r="G30" s="2245" t="s">
        <v>593</v>
      </c>
      <c r="H30" s="918"/>
      <c r="I30" s="918"/>
      <c r="J30" s="650" t="str">
        <f>FHD_NOTE_P_1</f>
        <v>Указывается выручка с распределением по видам деятельности.</v>
      </c>
      <c r="K30" s="904"/>
    </row>
    <row customHeight="1" ht="11.25">
      <c r="D31" s="2004"/>
      <c r="E31" s="907">
        <f>FHD_NUM_P_2</f>
        <v>2</v>
      </c>
      <c r="F31" s="2247" t="str">
        <f>FHD_P_2</f>
        <v>Себестоимость производимых товаров (оказываемых услуг) по регулируемым видам деятельности в сфере горячего водоснабжения, включая:</v>
      </c>
      <c r="G31" s="2245" t="s">
        <v>593</v>
      </c>
      <c r="H31" s="919">
        <f>SUMIF($K33:$K71,$K31,H33:H71)</f>
        <v>0</v>
      </c>
      <c r="I31" s="919">
        <f>SUMIF($K33:$K71,$K31,I33:I71)</f>
        <v>0</v>
      </c>
      <c r="J31" s="650" t="str">
        <f>FHD_NOTE_P_2</f>
        <v>Указывается суммарная себестоимость производимых товаров.</v>
      </c>
      <c r="K31" s="2002" t="s">
        <v>608</v>
      </c>
    </row>
    <row customHeight="1" ht="11.25">
      <c r="D32" s="2004"/>
      <c r="E32" s="907" t="str">
        <f>FHD_NUM_P_3</f>
        <v>2.1</v>
      </c>
      <c r="F32" s="1890" t="str">
        <f>FHD_P_3</f>
        <v>Расходы на приобретаемую тепловую энергию (мощность), используемую для горячего водоснабжения</v>
      </c>
      <c r="G32" s="2245" t="s">
        <v>593</v>
      </c>
      <c r="H32" s="918"/>
      <c r="I32" s="918"/>
      <c r="J32" s="650" t="str">
        <f>FHD_NOTE_P_3</f>
        <v/>
      </c>
      <c r="K32" s="2002" t="str">
        <f>IF((LEN(E32)-LEN(SUBSTITUTE(E32,".","")))/LEN(".")=1,"p","")</f>
        <v>p</v>
      </c>
    </row>
    <row customHeight="1" ht="11.25" hidden="1">
      <c r="A33" s="2633" t="s">
        <v>609</v>
      </c>
      <c r="D33" s="2004"/>
      <c r="E33" s="907" t="str">
        <f>FHD_NUM_P_4</f>
        <v/>
      </c>
      <c r="F33" s="1890" t="str">
        <f>FHD_P_4</f>
        <v/>
      </c>
      <c r="G33" s="2245" t="s">
        <v>593</v>
      </c>
      <c r="H33" s="919">
        <f>SUMIF($F34:$F40,$F3,H34:H40)</f>
        <v>0</v>
      </c>
      <c r="I33" s="919">
        <f>SUMIF($F34:$F40,$F3,I34:I40)</f>
        <v>0</v>
      </c>
      <c r="J33" s="650" t="str">
        <f>FHD_NOTE_P_4</f>
        <v/>
      </c>
      <c r="K33" s="2002" t="str">
        <f>IF((LEN(E33)-LEN(SUBSTITUTE(E33,".","")))/LEN(".")=1,"p","")</f>
        <v/>
      </c>
    </row>
    <row s="32338" customFormat="1" customHeight="1" ht="0.75" hidden="1">
      <c r="A34" s="2633"/>
      <c r="B34" s="2634" t="str">
        <f>E33&amp;".0"</f>
        <v>.0</v>
      </c>
      <c r="C34" s="1530"/>
      <c r="D34" s="921"/>
      <c r="E34" s="922"/>
      <c r="F34" s="923"/>
      <c r="G34" s="924"/>
      <c r="H34" s="858"/>
      <c r="I34" s="858"/>
      <c r="J34" s="925"/>
      <c r="K34" s="2002" t="str">
        <f>IF((LEN(E34)-LEN(SUBSTITUTE(E34,".","")))/LEN(".")=1,"p","")</f>
        <v/>
      </c>
      <c r="L34" s="2002"/>
      <c r="M34" s="2002"/>
      <c r="N34" s="2002"/>
      <c r="O34" s="2002"/>
      <c r="P34" s="2002"/>
      <c r="Q34" s="2002"/>
      <c r="R34" s="2002"/>
      <c r="S34" s="2002"/>
      <c r="T34" s="2002"/>
      <c r="U34" s="926"/>
      <c r="V34" s="2002"/>
      <c r="W34" s="2002"/>
      <c r="X34" s="2002"/>
      <c r="Y34" s="2002"/>
      <c r="Z34" s="2002"/>
      <c r="AA34" s="927"/>
      <c r="AB34" s="927"/>
      <c r="AC34" s="927"/>
      <c r="AD34" s="927"/>
      <c r="AE34" s="927"/>
    </row>
    <row s="32338" customFormat="1" customHeight="1" ht="0.75" hidden="1">
      <c r="A35" s="2633"/>
      <c r="B35" s="2634"/>
      <c r="C35" s="1530"/>
      <c r="D35" s="921"/>
      <c r="E35" s="928"/>
      <c r="F35" s="929"/>
      <c r="G35" s="924"/>
      <c r="H35" s="930"/>
      <c r="I35" s="930"/>
      <c r="J35" s="925"/>
      <c r="K35" s="2002" t="str">
        <f>IF((LEN(E35)-LEN(SUBSTITUTE(E35,".","")))/LEN(".")=1,"p","")</f>
        <v/>
      </c>
      <c r="L35" s="2002"/>
      <c r="M35" s="2002"/>
      <c r="N35" s="2002"/>
      <c r="O35" s="2002"/>
      <c r="P35" s="2002"/>
      <c r="Q35" s="2002"/>
      <c r="R35" s="2002"/>
      <c r="S35" s="2002"/>
      <c r="T35" s="2002"/>
      <c r="U35" s="926"/>
      <c r="V35" s="2002"/>
      <c r="W35" s="2002"/>
      <c r="X35" s="2002"/>
      <c r="Y35" s="2002"/>
      <c r="Z35" s="2002"/>
      <c r="AA35" s="927"/>
      <c r="AB35" s="927"/>
      <c r="AC35" s="927"/>
      <c r="AD35" s="927"/>
      <c r="AE35" s="927"/>
    </row>
    <row s="32338" customFormat="1" customHeight="1" ht="0.75" hidden="1">
      <c r="A36" s="2633"/>
      <c r="B36" s="2634"/>
      <c r="C36" s="1530"/>
      <c r="D36" s="921"/>
      <c r="E36" s="928"/>
      <c r="F36" s="929"/>
      <c r="G36" s="924"/>
      <c r="H36" s="930"/>
      <c r="I36" s="930"/>
      <c r="J36" s="925"/>
      <c r="K36" s="2002" t="str">
        <f>IF((LEN(E36)-LEN(SUBSTITUTE(E36,".","")))/LEN(".")=1,"p","")</f>
        <v/>
      </c>
      <c r="L36" s="2002"/>
      <c r="M36" s="2002"/>
      <c r="N36" s="2002"/>
      <c r="O36" s="2002"/>
      <c r="P36" s="2002"/>
      <c r="Q36" s="2002"/>
      <c r="R36" s="2002"/>
      <c r="S36" s="2002"/>
      <c r="T36" s="2002"/>
      <c r="U36" s="926"/>
      <c r="V36" s="2002"/>
      <c r="W36" s="2002"/>
      <c r="X36" s="2002"/>
      <c r="Y36" s="2002"/>
      <c r="Z36" s="2002"/>
      <c r="AA36" s="927"/>
      <c r="AB36" s="927"/>
      <c r="AC36" s="927"/>
      <c r="AD36" s="927"/>
      <c r="AE36" s="927"/>
    </row>
    <row s="32338" customFormat="1" customHeight="1" ht="0.75" hidden="1">
      <c r="A37" s="2633"/>
      <c r="B37" s="2634"/>
      <c r="C37" s="1530"/>
      <c r="D37" s="921"/>
      <c r="E37" s="928"/>
      <c r="F37" s="929"/>
      <c r="G37" s="924"/>
      <c r="H37" s="930"/>
      <c r="I37" s="930"/>
      <c r="J37" s="925"/>
      <c r="K37" s="2002" t="str">
        <f>IF((LEN(E37)-LEN(SUBSTITUTE(E37,".","")))/LEN(".")=1,"p","")</f>
        <v/>
      </c>
      <c r="L37" s="2002"/>
      <c r="M37" s="2002"/>
      <c r="N37" s="2002"/>
      <c r="O37" s="2002"/>
      <c r="P37" s="2002"/>
      <c r="Q37" s="2002"/>
      <c r="R37" s="2002"/>
      <c r="S37" s="2002"/>
      <c r="T37" s="2002"/>
      <c r="U37" s="926"/>
      <c r="V37" s="2002"/>
      <c r="W37" s="2002"/>
      <c r="X37" s="2002"/>
      <c r="Y37" s="2002"/>
      <c r="Z37" s="2002"/>
      <c r="AA37" s="927"/>
      <c r="AB37" s="927"/>
      <c r="AC37" s="927"/>
      <c r="AD37" s="927"/>
      <c r="AE37" s="927"/>
    </row>
    <row s="32338" customFormat="1" customHeight="1" ht="0.75" hidden="1">
      <c r="A38" s="2633"/>
      <c r="B38" s="2634"/>
      <c r="C38" s="1530"/>
      <c r="D38" s="921"/>
      <c r="E38" s="928"/>
      <c r="F38" s="929"/>
      <c r="G38" s="924"/>
      <c r="H38" s="930"/>
      <c r="I38" s="930"/>
      <c r="J38" s="925"/>
      <c r="K38" s="2002" t="str">
        <f>IF((LEN(E38)-LEN(SUBSTITUTE(E38,".","")))/LEN(".")=1,"p","")</f>
        <v/>
      </c>
      <c r="L38" s="2002"/>
      <c r="M38" s="2002"/>
      <c r="N38" s="2002"/>
      <c r="O38" s="2002"/>
      <c r="P38" s="2002"/>
      <c r="Q38" s="2002"/>
      <c r="R38" s="2002"/>
      <c r="S38" s="2002"/>
      <c r="T38" s="2002"/>
      <c r="U38" s="926"/>
      <c r="V38" s="2002"/>
      <c r="W38" s="2002"/>
      <c r="X38" s="2002"/>
      <c r="Y38" s="2002"/>
      <c r="Z38" s="2002"/>
      <c r="AA38" s="927"/>
      <c r="AB38" s="927"/>
      <c r="AC38" s="927"/>
      <c r="AD38" s="927"/>
      <c r="AE38" s="927"/>
    </row>
    <row s="32338" customFormat="1" customHeight="1" ht="0.75" hidden="1">
      <c r="A39" s="2633"/>
      <c r="B39" s="2634"/>
      <c r="C39" s="1530"/>
      <c r="D39" s="921"/>
      <c r="E39" s="928"/>
      <c r="F39" s="929"/>
      <c r="G39" s="924"/>
      <c r="H39" s="858"/>
      <c r="I39" s="858"/>
      <c r="J39" s="925"/>
      <c r="K39" s="2002" t="str">
        <f>IF((LEN(E39)-LEN(SUBSTITUTE(E39,".","")))/LEN(".")=1,"p","")</f>
        <v/>
      </c>
      <c r="L39" s="2002"/>
      <c r="M39" s="2002"/>
      <c r="N39" s="2002"/>
      <c r="O39" s="2002"/>
      <c r="P39" s="2002"/>
      <c r="Q39" s="2002"/>
      <c r="R39" s="2002"/>
      <c r="S39" s="2002"/>
      <c r="T39" s="2002"/>
      <c r="U39" s="926"/>
      <c r="V39" s="2002"/>
      <c r="W39" s="2002"/>
      <c r="X39" s="2002"/>
      <c r="Y39" s="2002"/>
      <c r="Z39" s="2002"/>
      <c r="AA39" s="927"/>
      <c r="AB39" s="927"/>
      <c r="AC39" s="927"/>
      <c r="AD39" s="927"/>
      <c r="AE39" s="927"/>
    </row>
    <row s="32217" customFormat="1" customHeight="1" ht="15" hidden="1">
      <c r="A40" s="2633"/>
      <c r="C40" s="2002"/>
      <c r="D40" s="1999"/>
      <c r="E40" s="931"/>
      <c r="F40" s="932" t="s">
        <v>610</v>
      </c>
      <c r="G40" s="933"/>
      <c r="H40" s="934"/>
      <c r="I40" s="934"/>
      <c r="J40" s="662"/>
      <c r="K40" s="2002" t="str">
        <f>IF((LEN(E40)-LEN(SUBSTITUTE(E40,".","")))/LEN(".")=1,"p","")</f>
        <v/>
      </c>
      <c r="L40" s="2002"/>
      <c r="M40" s="2002"/>
      <c r="R40" s="2002"/>
      <c r="U40" s="905"/>
      <c r="AA40" s="1998"/>
      <c r="AB40" s="1998"/>
      <c r="AC40" s="1998"/>
      <c r="AD40" s="1998"/>
      <c r="AE40" s="1998"/>
    </row>
    <row customHeight="1" ht="11.25">
      <c r="A41" s="2633" t="s">
        <v>611</v>
      </c>
      <c r="D41" s="2004"/>
      <c r="E41" s="907" t="str">
        <f>FHD_NUM_P_5</f>
        <v>2.2</v>
      </c>
      <c r="F41" s="1890" t="str">
        <f>FHD_P_5</f>
        <v>Расходы на тепловую энергию, производимую с применением собственных источников и используемую для горячего водоснабжения</v>
      </c>
      <c r="G41" s="2245" t="s">
        <v>593</v>
      </c>
      <c r="H41" s="918"/>
      <c r="I41" s="918"/>
      <c r="J41" s="650" t="str">
        <f>FHD_NOTE_P_5</f>
        <v/>
      </c>
      <c r="K41" s="2002" t="str">
        <f>IF((LEN(E41)-LEN(SUBSTITUTE(E41,".","")))/LEN(".")=1,"p","")</f>
        <v>p</v>
      </c>
    </row>
    <row customHeight="1" ht="11.25">
      <c r="A42" s="2633"/>
      <c r="D42" s="2004"/>
      <c r="E42" s="907" t="str">
        <f>FHD_NUM_P_6</f>
        <v>2.3</v>
      </c>
      <c r="F42" s="1890" t="str">
        <f>FHD_P_6</f>
        <v>Расходы на приобретаемую холодную воду, используемую для горячего водоснабжения</v>
      </c>
      <c r="G42" s="2245" t="s">
        <v>593</v>
      </c>
      <c r="H42" s="918"/>
      <c r="I42" s="918"/>
      <c r="J42" s="650" t="str">
        <f>FHD_NOTE_P_6</f>
        <v/>
      </c>
      <c r="K42" s="2002" t="str">
        <f>IF((LEN(E42)-LEN(SUBSTITUTE(E42,".","")))/LEN(".")=1,"p","")</f>
        <v>p</v>
      </c>
    </row>
    <row customHeight="1" ht="11.25">
      <c r="A43" s="2633"/>
      <c r="D43" s="2004"/>
      <c r="E43" s="907" t="str">
        <f>FHD_NUM_P_7</f>
        <v>2.4</v>
      </c>
      <c r="F43" s="1890"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2245" t="s">
        <v>593</v>
      </c>
      <c r="H43" s="918"/>
      <c r="I43" s="918"/>
      <c r="J43" s="650" t="str">
        <f>FHD_NOTE_P_7</f>
        <v/>
      </c>
      <c r="K43" s="2002" t="str">
        <f>IF((LEN(E43)-LEN(SUBSTITUTE(E43,".","")))/LEN(".")=1,"p","")</f>
        <v>p</v>
      </c>
    </row>
    <row customHeight="1" ht="11.25">
      <c r="D44" s="2004"/>
      <c r="E44" s="907" t="str">
        <f>FHD_NUM_P_8</f>
        <v>2.5</v>
      </c>
      <c r="F44" s="1890" t="str">
        <f>FHD_P_8</f>
        <v>Расходы на приобретаемую электрическую энергию (мощность), используемую в технологическом процессе</v>
      </c>
      <c r="G44" s="2245" t="s">
        <v>593</v>
      </c>
      <c r="H44" s="918"/>
      <c r="I44" s="918"/>
      <c r="J44" s="650" t="str">
        <f>FHD_NOTE_P_8</f>
        <v/>
      </c>
      <c r="K44" s="2002" t="str">
        <f>IF((LEN(E44)-LEN(SUBSTITUTE(E44,".","")))/LEN(".")=1,"p","")</f>
        <v>p</v>
      </c>
    </row>
    <row customHeight="1" ht="11.25">
      <c r="D45" s="2004"/>
      <c r="E45" s="907" t="str">
        <f>FHD_NUM_P_9</f>
        <v>2.5.1</v>
      </c>
      <c r="F45" s="2016" t="str">
        <f>FHD_P_9</f>
        <v>Средневзвешенная стоимость 1 кВт.ч (с учетом мощности)</v>
      </c>
      <c r="G45" s="2245" t="s">
        <v>612</v>
      </c>
      <c r="H45" s="918"/>
      <c r="I45" s="918"/>
      <c r="J45" s="650" t="str">
        <f>FHD_NOTE_P_9</f>
        <v/>
      </c>
      <c r="K45" s="2002" t="str">
        <f>IF((LEN(E45)-LEN(SUBSTITUTE(E45,".","")))/LEN(".")=1,"p","")</f>
        <v/>
      </c>
    </row>
    <row s="32217" customFormat="1" customHeight="1" ht="11.25">
      <c r="A46" s="1349"/>
      <c r="C46" s="2002"/>
      <c r="D46" s="935"/>
      <c r="E46" s="907" t="str">
        <f>FHD_NUM_P_10</f>
        <v>2.5.2</v>
      </c>
      <c r="F46" s="2016" t="str">
        <f>FHD_P_10</f>
        <v>Объём приобретения электрической энергии</v>
      </c>
      <c r="G46" s="2245" t="s">
        <v>613</v>
      </c>
      <c r="H46" s="918"/>
      <c r="I46" s="918"/>
      <c r="J46" s="650" t="str">
        <f>FHD_NOTE_P_10</f>
        <v/>
      </c>
      <c r="K46" s="2002" t="str">
        <f>IF((LEN(E46)-LEN(SUBSTITUTE(E46,".","")))/LEN(".")=1,"p","")</f>
        <v/>
      </c>
      <c r="L46" s="2002"/>
      <c r="M46" s="2002"/>
      <c r="R46" s="2002"/>
      <c r="U46" s="905"/>
      <c r="AA46" s="1998"/>
      <c r="AB46" s="1998"/>
      <c r="AC46" s="1998"/>
      <c r="AD46" s="1998"/>
      <c r="AE46" s="1998"/>
    </row>
    <row s="32217" customFormat="1" customHeight="1" ht="11.25" hidden="1">
      <c r="A47" s="1351" t="s">
        <v>614</v>
      </c>
      <c r="C47" s="2002"/>
      <c r="D47" s="936"/>
      <c r="E47" s="907" t="str">
        <f>FHD_NUM_P_11</f>
        <v/>
      </c>
      <c r="F47" s="1890" t="str">
        <f>FHD_P_11</f>
        <v/>
      </c>
      <c r="G47" s="2245" t="s">
        <v>593</v>
      </c>
      <c r="H47" s="918"/>
      <c r="I47" s="918"/>
      <c r="J47" s="650" t="str">
        <f>FHD_NOTE_P_11</f>
        <v/>
      </c>
      <c r="K47" s="2002" t="str">
        <f>IF((LEN(E47)-LEN(SUBSTITUTE(E47,".","")))/LEN(".")=1,"p","")</f>
        <v/>
      </c>
      <c r="L47" s="2002"/>
      <c r="M47" s="2002"/>
      <c r="R47" s="2002"/>
      <c r="U47" s="905"/>
      <c r="AA47" s="1998"/>
      <c r="AB47" s="1998"/>
      <c r="AC47" s="1998"/>
      <c r="AD47" s="1998"/>
      <c r="AE47" s="1998"/>
    </row>
    <row s="32217" customFormat="1" customHeight="1" ht="18" hidden="1">
      <c r="A48" s="1351" t="s">
        <v>615</v>
      </c>
      <c r="C48" s="2002"/>
      <c r="D48" s="2004"/>
      <c r="E48" s="907" t="str">
        <f>FHD_NUM_P_12</f>
        <v/>
      </c>
      <c r="F48" s="1890" t="str">
        <f>FHD_P_12</f>
        <v/>
      </c>
      <c r="G48" s="2245" t="s">
        <v>593</v>
      </c>
      <c r="H48" s="938"/>
      <c r="I48" s="938"/>
      <c r="J48" s="650" t="str">
        <f>FHD_NOTE_P_12</f>
        <v/>
      </c>
      <c r="K48" s="2002" t="str">
        <f>IF((LEN(E48)-LEN(SUBSTITUTE(E48,".","")))/LEN(".")=1,"p","")</f>
        <v/>
      </c>
      <c r="L48" s="2002"/>
      <c r="M48" s="2002"/>
      <c r="R48" s="2002"/>
      <c r="U48" s="905"/>
      <c r="AA48" s="1998"/>
      <c r="AB48" s="1998"/>
      <c r="AC48" s="1998"/>
      <c r="AD48" s="1998"/>
      <c r="AE48" s="1998"/>
    </row>
    <row s="36811" customFormat="1" customHeight="1" ht="11.25">
      <c r="A49" s="1350"/>
      <c r="C49" s="1091"/>
      <c r="D49" s="1034"/>
      <c r="E49" s="907" t="str">
        <f>FHD_NUM_P_13</f>
        <v>2.6</v>
      </c>
      <c r="F49" s="189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245" t="s">
        <v>593</v>
      </c>
      <c r="H49" s="918"/>
      <c r="I49" s="918"/>
      <c r="J49" s="650" t="str">
        <f>FHD_NOTE_P_13</f>
        <v>Указывается общая сумма расходов на оплату труда и отчислений на социальные нужды основного производственного персонала.</v>
      </c>
      <c r="K49" s="2002" t="str">
        <f>IF((LEN(E49)-LEN(SUBSTITUTE(E49,".","")))/LEN(".")=1,"p","")</f>
        <v>p</v>
      </c>
      <c r="L49" s="1091"/>
      <c r="M49" s="1091"/>
      <c r="R49" s="1091"/>
      <c r="U49" s="1092"/>
      <c r="AA49" s="1093"/>
      <c r="AB49" s="1093"/>
      <c r="AC49" s="1093"/>
      <c r="AD49" s="1093"/>
      <c r="AE49" s="1093"/>
    </row>
    <row s="36811" customFormat="1" customHeight="1" ht="11.25">
      <c r="A50" s="1350"/>
      <c r="C50" s="1091"/>
      <c r="D50" s="1034"/>
      <c r="E50" s="907" t="str">
        <f>FHD_NUM_P_14</f>
        <v>2.6.1</v>
      </c>
      <c r="F50" s="2016" t="str">
        <f>FHD_P_14</f>
        <v>Расходы на оплату труда основного производственного персонала</v>
      </c>
      <c r="G50" s="2245" t="s">
        <v>593</v>
      </c>
      <c r="H50" s="918"/>
      <c r="I50" s="918"/>
      <c r="J50" s="650" t="str">
        <f>FHD_NOTE_P_14</f>
        <v/>
      </c>
      <c r="K50" s="2002" t="str">
        <f>IF((LEN(E50)-LEN(SUBSTITUTE(E50,".","")))/LEN(".")=1,"p","")</f>
        <v/>
      </c>
      <c r="L50" s="1091"/>
      <c r="M50" s="1091"/>
      <c r="R50" s="1091"/>
      <c r="U50" s="1092"/>
      <c r="AA50" s="1093"/>
      <c r="AB50" s="1093"/>
      <c r="AC50" s="1093"/>
      <c r="AD50" s="1093"/>
      <c r="AE50" s="1093"/>
    </row>
    <row s="36811" customFormat="1" customHeight="1" ht="11.25">
      <c r="A51" s="1350"/>
      <c r="C51" s="1091"/>
      <c r="D51" s="1034"/>
      <c r="E51" s="907" t="str">
        <f>FHD_NUM_P_15</f>
        <v>2.6.2</v>
      </c>
      <c r="F51" s="2016" t="str">
        <f>FHD_P_15</f>
        <v>Страховые взносы на обязательное социальное страхование, выплачиваемые из фонда оплаты труда основного производственного персонала</v>
      </c>
      <c r="G51" s="2245" t="s">
        <v>593</v>
      </c>
      <c r="H51" s="918"/>
      <c r="I51" s="918"/>
      <c r="J51" s="650" t="str">
        <f>FHD_NOTE_P_15</f>
        <v/>
      </c>
      <c r="K51" s="2002" t="str">
        <f>IF((LEN(E51)-LEN(SUBSTITUTE(E51,".","")))/LEN(".")=1,"p","")</f>
        <v/>
      </c>
      <c r="L51" s="1091"/>
      <c r="M51" s="1091"/>
      <c r="R51" s="1091"/>
      <c r="U51" s="1092"/>
      <c r="AA51" s="1093"/>
      <c r="AB51" s="1093"/>
      <c r="AC51" s="1093"/>
      <c r="AD51" s="1093"/>
      <c r="AE51" s="1093"/>
    </row>
    <row s="32217" customFormat="1" customHeight="1" ht="11.25">
      <c r="A52" s="1349"/>
      <c r="C52" s="2002"/>
      <c r="D52" s="2004"/>
      <c r="E52" s="907" t="str">
        <f>FHD_NUM_P_16</f>
        <v>2.7</v>
      </c>
      <c r="F52" s="189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245" t="s">
        <v>593</v>
      </c>
      <c r="H52" s="918"/>
      <c r="I52" s="918"/>
      <c r="J52" s="650" t="str">
        <f>FHD_NOTE_P_16</f>
        <v>Указывается общая сумма расходов на оплату труда и отчислений на социальные нужды административно-управленческого персонала.</v>
      </c>
      <c r="K52" s="2002" t="str">
        <f>IF((LEN(E52)-LEN(SUBSTITUTE(E52,".","")))/LEN(".")=1,"p","")</f>
        <v>p</v>
      </c>
      <c r="L52" s="2002"/>
      <c r="M52" s="2008"/>
      <c r="N52" s="898"/>
      <c r="O52" s="898"/>
      <c r="R52" s="2002"/>
      <c r="U52" s="905"/>
      <c r="AA52" s="1998"/>
      <c r="AB52" s="1998"/>
      <c r="AC52" s="1998"/>
      <c r="AD52" s="1998"/>
      <c r="AE52" s="1998"/>
    </row>
    <row s="32217" customFormat="1" customHeight="1" ht="11.25">
      <c r="A53" s="1349"/>
      <c r="C53" s="2002"/>
      <c r="D53" s="2004"/>
      <c r="E53" s="907" t="str">
        <f>FHD_NUM_P_17</f>
        <v>2.7.1</v>
      </c>
      <c r="F53" s="2016" t="str">
        <f>FHD_P_17</f>
        <v>Расходы на оплату труда административно-управленческого персонала</v>
      </c>
      <c r="G53" s="2245" t="s">
        <v>593</v>
      </c>
      <c r="H53" s="918"/>
      <c r="I53" s="918"/>
      <c r="J53" s="650" t="str">
        <f>FHD_NOTE_P_17</f>
        <v/>
      </c>
      <c r="K53" s="2002" t="str">
        <f>IF((LEN(E53)-LEN(SUBSTITUTE(E53,".","")))/LEN(".")=1,"p","")</f>
        <v/>
      </c>
      <c r="L53" s="2002"/>
      <c r="M53" s="2008"/>
      <c r="N53" s="898"/>
      <c r="O53" s="898"/>
      <c r="R53" s="2002"/>
      <c r="U53" s="905"/>
      <c r="AA53" s="1998"/>
      <c r="AB53" s="1998"/>
      <c r="AC53" s="1998"/>
      <c r="AD53" s="1998"/>
      <c r="AE53" s="1998"/>
    </row>
    <row s="32217" customFormat="1" customHeight="1" ht="11.25">
      <c r="A54" s="1349"/>
      <c r="C54" s="2002"/>
      <c r="D54" s="2004"/>
      <c r="E54" s="907" t="str">
        <f>FHD_NUM_P_18</f>
        <v>2.7.2</v>
      </c>
      <c r="F54" s="201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245" t="s">
        <v>593</v>
      </c>
      <c r="H54" s="918"/>
      <c r="I54" s="918"/>
      <c r="J54" s="650" t="str">
        <f>FHD_NOTE_P_18</f>
        <v/>
      </c>
      <c r="K54" s="2002" t="str">
        <f>IF((LEN(E54)-LEN(SUBSTITUTE(E54,".","")))/LEN(".")=1,"p","")</f>
        <v/>
      </c>
      <c r="L54" s="2002"/>
      <c r="M54" s="2008"/>
      <c r="N54" s="898"/>
      <c r="O54" s="898"/>
      <c r="R54" s="2002"/>
      <c r="U54" s="905"/>
      <c r="AA54" s="1998"/>
      <c r="AB54" s="1998"/>
      <c r="AC54" s="1998"/>
      <c r="AD54" s="1998"/>
      <c r="AE54" s="1998"/>
    </row>
    <row s="32217" customFormat="1" customHeight="1" ht="11.25">
      <c r="A55" s="1349"/>
      <c r="C55" s="2002"/>
      <c r="D55" s="936"/>
      <c r="E55" s="907" t="str">
        <f>FHD_NUM_P_19</f>
        <v>2.8</v>
      </c>
      <c r="F55" s="1890" t="str">
        <f>FHD_P_19</f>
        <v>Расходы на амортизацию основных средств и нематериальных активов</v>
      </c>
      <c r="G55" s="2245" t="s">
        <v>593</v>
      </c>
      <c r="H55" s="918"/>
      <c r="I55" s="918"/>
      <c r="J55" s="650" t="str">
        <f>FHD_NOTE_P_19</f>
        <v/>
      </c>
      <c r="K55" s="2002" t="str">
        <f>IF((LEN(E55)-LEN(SUBSTITUTE(E55,".","")))/LEN(".")=1,"p","")</f>
        <v>p</v>
      </c>
      <c r="L55" s="2002"/>
      <c r="M55" s="2002"/>
      <c r="R55" s="2002"/>
      <c r="U55" s="905"/>
      <c r="AA55" s="1998"/>
      <c r="AB55" s="1998"/>
      <c r="AC55" s="1998"/>
      <c r="AD55" s="1998"/>
      <c r="AE55" s="1998"/>
    </row>
    <row s="32217" customFormat="1" customHeight="1" ht="11.25">
      <c r="A56" s="1349"/>
      <c r="C56" s="2002"/>
      <c r="D56" s="936"/>
      <c r="E56" s="907" t="str">
        <f>FHD_NUM_P_20</f>
        <v>2.8.1</v>
      </c>
      <c r="F56" s="2016" t="str">
        <f>FHD_P_20</f>
        <v>Расходы на амортизацию основных средств</v>
      </c>
      <c r="G56" s="2245" t="s">
        <v>593</v>
      </c>
      <c r="H56" s="918"/>
      <c r="I56" s="918"/>
      <c r="J56" s="650" t="str">
        <f>FHD_NOTE_P_20</f>
        <v/>
      </c>
      <c r="K56" s="2002" t="str">
        <f>IF((LEN(E56)-LEN(SUBSTITUTE(E56,".","")))/LEN(".")=1,"p","")</f>
        <v/>
      </c>
      <c r="L56" s="2002"/>
      <c r="M56" s="2002"/>
      <c r="R56" s="2002"/>
      <c r="U56" s="905"/>
      <c r="AA56" s="1998"/>
      <c r="AB56" s="1998"/>
      <c r="AC56" s="1998"/>
      <c r="AD56" s="1998"/>
      <c r="AE56" s="1998"/>
    </row>
    <row s="32217" customFormat="1" customHeight="1" ht="11.25">
      <c r="A57" s="1349"/>
      <c r="C57" s="2002"/>
      <c r="D57" s="936"/>
      <c r="E57" s="907" t="str">
        <f>FHD_NUM_P_21</f>
        <v>2.8.2</v>
      </c>
      <c r="F57" s="2016" t="str">
        <f>FHD_P_21</f>
        <v>Расходы на амортизацию нематериальных активов</v>
      </c>
      <c r="G57" s="2245" t="s">
        <v>593</v>
      </c>
      <c r="H57" s="918"/>
      <c r="I57" s="918"/>
      <c r="J57" s="650" t="str">
        <f>FHD_NOTE_P_21</f>
        <v/>
      </c>
      <c r="K57" s="2002" t="str">
        <f>IF((LEN(E57)-LEN(SUBSTITUTE(E57,".","")))/LEN(".")=1,"p","")</f>
        <v/>
      </c>
      <c r="L57" s="2002"/>
      <c r="M57" s="2002"/>
      <c r="R57" s="2002"/>
      <c r="U57" s="905"/>
      <c r="AA57" s="1998"/>
      <c r="AB57" s="1998"/>
      <c r="AC57" s="1998"/>
      <c r="AD57" s="1998"/>
      <c r="AE57" s="1998"/>
    </row>
    <row s="32217" customFormat="1" customHeight="1" ht="11.25">
      <c r="A58" s="1349"/>
      <c r="C58" s="2002"/>
      <c r="D58" s="2004"/>
      <c r="E58" s="907" t="str">
        <f>FHD_NUM_P_22</f>
        <v>2.9</v>
      </c>
      <c r="F58" s="1890" t="str">
        <f>FHD_P_22</f>
        <v>Расходы на аренду имущества, используемого для осуществления регулируемых видов деятельности в сфере горячего водоснабжения</v>
      </c>
      <c r="G58" s="2245" t="s">
        <v>593</v>
      </c>
      <c r="H58" s="918"/>
      <c r="I58" s="918"/>
      <c r="J58" s="650" t="str">
        <f>FHD_NOTE_P_22</f>
        <v/>
      </c>
      <c r="K58" s="2002" t="str">
        <f>IF((LEN(E58)-LEN(SUBSTITUTE(E58,".","")))/LEN(".")=1,"p","")</f>
        <v>p</v>
      </c>
      <c r="L58" s="2002"/>
      <c r="M58" s="2002"/>
      <c r="R58" s="2002"/>
      <c r="U58" s="905"/>
      <c r="AA58" s="1998"/>
      <c r="AB58" s="1998"/>
      <c r="AC58" s="1998"/>
      <c r="AD58" s="1998"/>
      <c r="AE58" s="1998"/>
    </row>
    <row s="32217" customFormat="1" customHeight="1" ht="11.25">
      <c r="A59" s="1349"/>
      <c r="C59" s="2002"/>
      <c r="D59" s="936"/>
      <c r="E59" s="907" t="str">
        <f>FHD_NUM_P_23</f>
        <v>2.10</v>
      </c>
      <c r="F59" s="1890" t="str">
        <f>FHD_P_23</f>
        <v>Общепроизводственные расходы, в том числе:</v>
      </c>
      <c r="G59" s="2245" t="s">
        <v>593</v>
      </c>
      <c r="H59" s="918"/>
      <c r="I59" s="918"/>
      <c r="J59" s="650" t="str">
        <f>FHD_NOTE_P_23</f>
        <v>Указывается общая сумма общепроизводственных расходов.</v>
      </c>
      <c r="K59" s="2002" t="str">
        <f>IF((LEN(E59)-LEN(SUBSTITUTE(E59,".","")))/LEN(".")=1,"p","")</f>
        <v>p</v>
      </c>
      <c r="L59" s="2002"/>
      <c r="M59" s="2002"/>
      <c r="R59" s="2002"/>
      <c r="U59" s="905"/>
      <c r="AA59" s="1998"/>
      <c r="AB59" s="1998"/>
      <c r="AC59" s="1998"/>
      <c r="AD59" s="1998"/>
      <c r="AE59" s="1998"/>
    </row>
    <row s="32217" customFormat="1" customHeight="1" ht="11.25">
      <c r="A60" s="1349"/>
      <c r="C60" s="2002"/>
      <c r="D60" s="936"/>
      <c r="E60" s="907" t="str">
        <f>FHD_NUM_P_24</f>
        <v>2.10.1</v>
      </c>
      <c r="F60" s="2016" t="str">
        <f>FHD_P_24</f>
        <v>Расходы на текущий ремонт</v>
      </c>
      <c r="G60" s="2245" t="s">
        <v>593</v>
      </c>
      <c r="H60" s="918"/>
      <c r="I60" s="918"/>
      <c r="J60" s="650" t="str">
        <f>FHD_NOTE_P_24</f>
        <v>Указываются расходы на текущий ремонт, отнесенные к общепроизводственным расходам.</v>
      </c>
      <c r="K60" s="2002" t="str">
        <f>IF((LEN(E60)-LEN(SUBSTITUTE(E60,".","")))/LEN(".")=1,"p","")</f>
        <v/>
      </c>
      <c r="L60" s="2002"/>
      <c r="M60" s="2002"/>
      <c r="R60" s="2002"/>
      <c r="U60" s="905"/>
      <c r="AA60" s="1998"/>
      <c r="AB60" s="1998"/>
      <c r="AC60" s="1998"/>
      <c r="AD60" s="1998"/>
      <c r="AE60" s="1998"/>
    </row>
    <row s="32217" customFormat="1" customHeight="1" ht="11.25">
      <c r="A61" s="1349"/>
      <c r="C61" s="2002"/>
      <c r="D61" s="936"/>
      <c r="E61" s="907" t="str">
        <f>FHD_NUM_P_25</f>
        <v>2.10.2</v>
      </c>
      <c r="F61" s="2016" t="str">
        <f>FHD_P_25</f>
        <v>Расходы на капитальный ремонт</v>
      </c>
      <c r="G61" s="2245" t="s">
        <v>593</v>
      </c>
      <c r="H61" s="918"/>
      <c r="I61" s="918"/>
      <c r="J61" s="650" t="str">
        <f>FHD_NOTE_P_25</f>
        <v>Указываются расходы на капитальный ремонт, отнесенные к общепроизводственным расходам.</v>
      </c>
      <c r="K61" s="2002" t="str">
        <f>IF((LEN(E61)-LEN(SUBSTITUTE(E61,".","")))/LEN(".")=1,"p","")</f>
        <v/>
      </c>
      <c r="L61" s="2002"/>
      <c r="M61" s="2002"/>
      <c r="R61" s="2002"/>
      <c r="U61" s="905"/>
      <c r="AA61" s="1998"/>
      <c r="AB61" s="1998"/>
      <c r="AC61" s="1998"/>
      <c r="AD61" s="1998"/>
      <c r="AE61" s="1998"/>
    </row>
    <row s="32217" customFormat="1" customHeight="1" ht="11.25">
      <c r="A62" s="1349"/>
      <c r="C62" s="2002"/>
      <c r="D62" s="2004"/>
      <c r="E62" s="907" t="str">
        <f>FHD_NUM_P_26</f>
        <v>2.11</v>
      </c>
      <c r="F62" s="1890" t="str">
        <f>FHD_P_26</f>
        <v>Общехозяйственные расходы, в том числе:</v>
      </c>
      <c r="G62" s="2245" t="s">
        <v>593</v>
      </c>
      <c r="H62" s="918"/>
      <c r="I62" s="918"/>
      <c r="J62" s="650" t="str">
        <f>FHD_NOTE_P_26</f>
        <v>Указывается общая сумма общехозяйственных расходов.</v>
      </c>
      <c r="K62" s="2002" t="str">
        <f>IF((LEN(E62)-LEN(SUBSTITUTE(E62,".","")))/LEN(".")=1,"p","")</f>
        <v>p</v>
      </c>
      <c r="L62" s="2002"/>
      <c r="M62" s="2002"/>
      <c r="R62" s="2002"/>
      <c r="U62" s="905"/>
      <c r="AA62" s="1998"/>
      <c r="AB62" s="1998"/>
      <c r="AC62" s="1998"/>
      <c r="AD62" s="1998"/>
      <c r="AE62" s="1998"/>
    </row>
    <row s="32217" customFormat="1" customHeight="1" ht="11.25">
      <c r="A63" s="1349"/>
      <c r="C63" s="2002"/>
      <c r="D63" s="2004"/>
      <c r="E63" s="907" t="str">
        <f>FHD_NUM_P_27</f>
        <v>2.11.1</v>
      </c>
      <c r="F63" s="2016" t="str">
        <f>FHD_P_27</f>
        <v>Расходы на текущий ремонт</v>
      </c>
      <c r="G63" s="2245" t="s">
        <v>593</v>
      </c>
      <c r="H63" s="918"/>
      <c r="I63" s="918"/>
      <c r="J63" s="650" t="str">
        <f>FHD_NOTE_P_27</f>
        <v>Указываются расходы на текущий ремонт, отнесенные к общехозяйственным расходам.</v>
      </c>
      <c r="K63" s="2002" t="str">
        <f>IF((LEN(E63)-LEN(SUBSTITUTE(E63,".","")))/LEN(".")=1,"p","")</f>
        <v/>
      </c>
      <c r="L63" s="2002"/>
      <c r="M63" s="2002"/>
      <c r="R63" s="2002"/>
      <c r="U63" s="905"/>
      <c r="AA63" s="1998"/>
      <c r="AB63" s="1998"/>
      <c r="AC63" s="1998"/>
      <c r="AD63" s="1998"/>
      <c r="AE63" s="1998"/>
    </row>
    <row s="32217" customFormat="1" customHeight="1" ht="11.25">
      <c r="A64" s="1349"/>
      <c r="C64" s="2002"/>
      <c r="D64" s="2004"/>
      <c r="E64" s="907" t="str">
        <f>FHD_NUM_P_28</f>
        <v>2.11.2</v>
      </c>
      <c r="F64" s="2016" t="str">
        <f>FHD_P_28</f>
        <v>Расходы на капитальный ремонт</v>
      </c>
      <c r="G64" s="2245" t="s">
        <v>593</v>
      </c>
      <c r="H64" s="918"/>
      <c r="I64" s="918"/>
      <c r="J64" s="650" t="str">
        <f>FHD_NOTE_P_28</f>
        <v>Указываются расходы на капитальный ремонт, отнесенные к общехозяйственным расходам.</v>
      </c>
      <c r="K64" s="2002" t="str">
        <f>IF((LEN(E64)-LEN(SUBSTITUTE(E64,".","")))/LEN(".")=1,"p","")</f>
        <v/>
      </c>
      <c r="L64" s="2002"/>
      <c r="M64" s="2002"/>
      <c r="R64" s="2002"/>
      <c r="U64" s="905"/>
      <c r="AA64" s="1998"/>
      <c r="AB64" s="1998"/>
      <c r="AC64" s="1998"/>
      <c r="AD64" s="1998"/>
      <c r="AE64" s="1998"/>
    </row>
    <row s="32217" customFormat="1" customHeight="1" ht="11.25">
      <c r="A65" s="1349"/>
      <c r="C65" s="2002"/>
      <c r="D65" s="2004"/>
      <c r="E65" s="907" t="str">
        <f>FHD_NUM_P_29</f>
        <v>2.12</v>
      </c>
      <c r="F65" s="1890" t="str">
        <f>FHD_P_29</f>
        <v>Расходы на капитальный и текущий ремонт основных средств</v>
      </c>
      <c r="G65" s="2245" t="s">
        <v>593</v>
      </c>
      <c r="H65" s="918"/>
      <c r="I65" s="918"/>
      <c r="J65" s="65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2002" t="str">
        <f>IF((LEN(E65)-LEN(SUBSTITUTE(E65,".","")))/LEN(".")=1,"p","")</f>
        <v>p</v>
      </c>
      <c r="L65" s="2002"/>
      <c r="M65" s="2002"/>
      <c r="R65" s="2002"/>
      <c r="U65" s="905"/>
      <c r="AA65" s="1998"/>
      <c r="AB65" s="1998"/>
      <c r="AC65" s="1998"/>
      <c r="AD65" s="1998"/>
      <c r="AE65" s="1998"/>
    </row>
    <row s="32217" customFormat="1" customHeight="1" ht="11.25">
      <c r="A66" s="1349"/>
      <c r="C66" s="2002"/>
      <c r="D66" s="2004"/>
      <c r="E66" s="907" t="str">
        <f>FHD_NUM_P_30</f>
        <v>2.12.1</v>
      </c>
      <c r="F66" s="201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245" t="s">
        <v>347</v>
      </c>
      <c r="H66" s="2015" t="s">
        <v>616</v>
      </c>
      <c r="I66" s="2015" t="s">
        <v>616</v>
      </c>
      <c r="J66" s="650" t="str">
        <f>FHD_NOTE_P_30</f>
        <v/>
      </c>
      <c r="K66" s="2002" t="str">
        <f>IF((LEN(E66)-LEN(SUBSTITUTE(E66,".","")))/LEN(".")=1,"p","")</f>
        <v/>
      </c>
      <c r="L66" s="2002">
        <f>_xlfn.IFERROR(MATCH("есть",B_FHD_FLAG_INDEX_1,0),0)</f>
        <v>0</v>
      </c>
      <c r="M66" s="2002"/>
      <c r="R66" s="2002"/>
      <c r="U66" s="905"/>
      <c r="AA66" s="1998"/>
      <c r="AB66" s="1998"/>
      <c r="AC66" s="1998"/>
      <c r="AD66" s="1998"/>
      <c r="AE66" s="1998"/>
    </row>
    <row s="32217" customFormat="1" customHeight="1" ht="22.5">
      <c r="A67" s="2633" t="s">
        <v>617</v>
      </c>
      <c r="C67" s="2002"/>
      <c r="D67" s="2004"/>
      <c r="E67" s="907" t="str">
        <f>FHD_NUM_P_31</f>
        <v>2.13</v>
      </c>
      <c r="F67" s="189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2245" t="s">
        <v>593</v>
      </c>
      <c r="H67" s="918"/>
      <c r="I67" s="918"/>
      <c r="J67" s="65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2002" t="str">
        <f>IF((LEN(E67)-LEN(SUBSTITUTE(E67,".","")))/LEN(".")=1,"p","")</f>
        <v>p</v>
      </c>
      <c r="L67" s="2002"/>
      <c r="M67" s="2002"/>
      <c r="R67" s="2002"/>
      <c r="U67" s="905"/>
      <c r="AA67" s="1998"/>
      <c r="AB67" s="1998"/>
      <c r="AC67" s="1998"/>
      <c r="AD67" s="1998"/>
      <c r="AE67" s="1998"/>
    </row>
    <row s="32217" customFormat="1" customHeight="1" ht="45">
      <c r="A68" s="2633"/>
      <c r="C68" s="2002"/>
      <c r="D68" s="2004"/>
      <c r="E68" s="907" t="str">
        <f>FHD_NUM_P_32</f>
        <v>2.13.1</v>
      </c>
      <c r="F68" s="201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245" t="s">
        <v>347</v>
      </c>
      <c r="H68" s="2015" t="s">
        <v>616</v>
      </c>
      <c r="I68" s="2015" t="s">
        <v>616</v>
      </c>
      <c r="J68" s="650" t="str">
        <f>FHD_NOTE_P_32</f>
        <v/>
      </c>
      <c r="K68" s="2002" t="str">
        <f>IF((LEN(E68)-LEN(SUBSTITUTE(E68,".","")))/LEN(".")=1,"p","")</f>
        <v/>
      </c>
      <c r="L68" s="2002">
        <f>_xlfn.IFERROR(MATCH("есть",B_FHD_FLAG_INDEX_2,0),0)</f>
        <v>0</v>
      </c>
      <c r="M68" s="2002"/>
      <c r="R68" s="2002"/>
      <c r="U68" s="905"/>
      <c r="AA68" s="1998"/>
      <c r="AB68" s="1998"/>
      <c r="AC68" s="1998"/>
      <c r="AD68" s="1998"/>
      <c r="AE68" s="1998"/>
    </row>
    <row s="32217" customFormat="1" customHeight="1" ht="11.25">
      <c r="A69" s="1349"/>
      <c r="C69" s="2002"/>
      <c r="D69" s="2004"/>
      <c r="E69" s="907" t="str">
        <f>FHD_NUM_P_33</f>
        <v>2.14</v>
      </c>
      <c r="F69" s="1890"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2246" t="s">
        <v>593</v>
      </c>
      <c r="H69" s="940">
        <f>SUM(H70:H71)</f>
        <v>0</v>
      </c>
      <c r="I69" s="940">
        <f>SUM(I70:I71)</f>
        <v>0</v>
      </c>
      <c r="J69" s="65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2002" t="str">
        <f>IF((LEN(E69)-LEN(SUBSTITUTE(E69,".","")))/LEN(".")=1,"p","")</f>
        <v>p</v>
      </c>
      <c r="L69" s="2002"/>
      <c r="M69" s="2002"/>
      <c r="R69" s="2002"/>
      <c r="U69" s="905"/>
      <c r="AA69" s="1998"/>
      <c r="AB69" s="1998"/>
      <c r="AC69" s="1998"/>
      <c r="AD69" s="1998"/>
      <c r="AE69" s="1998"/>
    </row>
    <row s="32341" customFormat="1" customHeight="1" ht="0.75">
      <c r="A70" s="1530"/>
      <c r="D70" s="909"/>
      <c r="E70" s="1375" t="str">
        <f>E69&amp;".0"</f>
        <v>2.14.0</v>
      </c>
      <c r="F70" s="1353"/>
      <c r="G70" s="1375"/>
      <c r="H70" s="1354"/>
      <c r="I70" s="1354"/>
      <c r="J70" s="1355"/>
      <c r="K70" s="2002" t="str">
        <f>IF((LEN(E70)-LEN(SUBSTITUTE(E70,".","")))/LEN(".")=1,"p","")</f>
        <v/>
      </c>
    </row>
    <row s="32217" customFormat="1" customHeight="1" ht="14.25">
      <c r="A71" s="1349"/>
      <c r="C71" s="2002"/>
      <c r="D71" s="1999"/>
      <c r="E71" s="931"/>
      <c r="F71" s="932" t="s">
        <v>618</v>
      </c>
      <c r="G71" s="933"/>
      <c r="H71" s="934"/>
      <c r="I71" s="934"/>
      <c r="J71" s="662"/>
      <c r="K71" s="2002"/>
      <c r="L71" s="2002"/>
      <c r="M71" s="2002"/>
      <c r="R71" s="2002"/>
      <c r="U71" s="905"/>
      <c r="AA71" s="1998"/>
      <c r="AB71" s="1998"/>
      <c r="AC71" s="1998"/>
      <c r="AD71" s="1998"/>
      <c r="AE71" s="1998"/>
    </row>
    <row s="32217" customFormat="1" customHeight="1" ht="18.75" hidden="1">
      <c r="A72" s="1351" t="s">
        <v>619</v>
      </c>
      <c r="C72" s="2002"/>
      <c r="D72" s="2004"/>
      <c r="E72" s="907" t="str">
        <f>FHD_NUM_P_34</f>
        <v/>
      </c>
      <c r="F72" s="2247" t="str">
        <f>FHD_P_34</f>
        <v/>
      </c>
      <c r="G72" s="2245" t="s">
        <v>593</v>
      </c>
      <c r="H72" s="918"/>
      <c r="I72" s="918"/>
      <c r="J72" s="650" t="str">
        <f>FHD_NOTE_P_34</f>
        <v/>
      </c>
      <c r="K72" s="904"/>
      <c r="L72" s="2002"/>
      <c r="M72" s="2002"/>
      <c r="R72" s="2002"/>
      <c r="U72" s="905"/>
      <c r="AA72" s="1998"/>
      <c r="AB72" s="1998"/>
      <c r="AC72" s="1998"/>
      <c r="AD72" s="1998"/>
      <c r="AE72" s="1998"/>
    </row>
    <row s="32217" customFormat="1" customHeight="1" ht="18.75">
      <c r="A73" s="1349"/>
      <c r="C73" s="2002"/>
      <c r="D73" s="936"/>
      <c r="E73" s="907" t="str">
        <f>FHD_NUM_P_35</f>
        <v>3</v>
      </c>
      <c r="F73" s="2247" t="str">
        <f>FHD_P_35</f>
        <v>Чистая прибыль, полученная от регулируемого вида деятельности в сфере горячего водоснабжения, в том числе:</v>
      </c>
      <c r="G73" s="2245" t="s">
        <v>593</v>
      </c>
      <c r="H73" s="918"/>
      <c r="I73" s="918"/>
      <c r="J73" s="650" t="str">
        <f>FHD_NOTE_P_35</f>
        <v>Указывается общая сумма чистой прибыли, полученной от регулируемого вида деятельности.</v>
      </c>
      <c r="K73" s="904"/>
      <c r="L73" s="2002"/>
      <c r="M73" s="2002"/>
      <c r="R73" s="2002"/>
      <c r="U73" s="905"/>
      <c r="AA73" s="1998"/>
      <c r="AB73" s="1998"/>
      <c r="AC73" s="1998"/>
      <c r="AD73" s="1998"/>
      <c r="AE73" s="1998"/>
    </row>
    <row s="32217" customFormat="1" customHeight="1" ht="18.75">
      <c r="A74" s="1349"/>
      <c r="C74" s="2002"/>
      <c r="D74" s="2004"/>
      <c r="E74" s="907" t="str">
        <f>FHD_NUM_P_36</f>
        <v>3.1</v>
      </c>
      <c r="F74" s="189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245" t="s">
        <v>593</v>
      </c>
      <c r="H74" s="918"/>
      <c r="I74" s="918"/>
      <c r="J74" s="650" t="str">
        <f>FHD_NOTE_P_36</f>
        <v/>
      </c>
      <c r="K74" s="904"/>
      <c r="L74" s="2002"/>
      <c r="M74" s="2002"/>
      <c r="R74" s="2002"/>
      <c r="U74" s="905"/>
      <c r="AA74" s="1998"/>
      <c r="AB74" s="1998"/>
      <c r="AC74" s="1998"/>
      <c r="AD74" s="1998"/>
      <c r="AE74" s="1998"/>
    </row>
    <row s="32217" customFormat="1" customHeight="1" ht="18.75">
      <c r="A75" s="1349"/>
      <c r="C75" s="2002"/>
      <c r="D75" s="2004"/>
      <c r="E75" s="907" t="str">
        <f>FHD_NUM_P_37</f>
        <v>4</v>
      </c>
      <c r="F75" s="2247" t="str">
        <f>FHD_P_37</f>
        <v>Изменение стоимости основных фондов, в том числе:</v>
      </c>
      <c r="G75" s="2245" t="s">
        <v>593</v>
      </c>
      <c r="H75" s="918"/>
      <c r="I75" s="918"/>
      <c r="J75" s="650" t="str">
        <f>FHD_NOTE_P_37</f>
        <v>Указывается общее изменение стоимости основных фондов.</v>
      </c>
      <c r="K75" s="904"/>
      <c r="L75" s="2002"/>
      <c r="M75" s="2002"/>
      <c r="R75" s="2002"/>
      <c r="U75" s="905"/>
      <c r="AA75" s="1998"/>
      <c r="AB75" s="1998"/>
      <c r="AC75" s="1998"/>
      <c r="AD75" s="1998"/>
      <c r="AE75" s="1998"/>
    </row>
    <row s="32217" customFormat="1" customHeight="1" ht="18.75">
      <c r="A76" s="1349"/>
      <c r="C76" s="2002"/>
      <c r="D76" s="2004"/>
      <c r="E76" s="907" t="str">
        <f>FHD_NUM_P_38</f>
        <v>4.1</v>
      </c>
      <c r="F76" s="1890" t="str">
        <f>FHD_P_38</f>
        <v>Изменение стоимости основных фондов за счет их ввода в эксплуатацию (вывода из эксплуатации)</v>
      </c>
      <c r="G76" s="2245" t="s">
        <v>593</v>
      </c>
      <c r="H76" s="918"/>
      <c r="I76" s="918"/>
      <c r="J76" s="650" t="str">
        <f>FHD_NOTE_P_38</f>
        <v>Указываются общее изменение стоимости основных фондов за счет их ввода в эксплуатацию и вывода из эксплуатации.</v>
      </c>
      <c r="K76" s="904"/>
      <c r="L76" s="2002"/>
      <c r="M76" s="2002"/>
      <c r="R76" s="2002"/>
      <c r="U76" s="905"/>
      <c r="AA76" s="1998"/>
      <c r="AB76" s="1998"/>
      <c r="AC76" s="1998"/>
      <c r="AD76" s="1998"/>
      <c r="AE76" s="1998"/>
    </row>
    <row s="32217" customFormat="1" customHeight="1" ht="18.75">
      <c r="A77" s="1349"/>
      <c r="C77" s="2002"/>
      <c r="D77" s="2004"/>
      <c r="E77" s="907" t="str">
        <f>FHD_NUM_P_39</f>
        <v>4.1.1</v>
      </c>
      <c r="F77" s="2016" t="str">
        <f>FHD_P_39</f>
        <v>Изменение стоимости основных фондов за счет их ввода в эксплуатацию</v>
      </c>
      <c r="G77" s="2245" t="s">
        <v>593</v>
      </c>
      <c r="H77" s="918"/>
      <c r="I77" s="918"/>
      <c r="J77" s="650" t="str">
        <f>FHD_NOTE_P_39</f>
        <v>Указываются изменение стоимости основных фондов за счет их ввода в эксплуатацию.</v>
      </c>
      <c r="K77" s="904"/>
      <c r="L77" s="2002"/>
      <c r="M77" s="2002"/>
      <c r="R77" s="2002"/>
      <c r="U77" s="905"/>
      <c r="AA77" s="1998"/>
      <c r="AB77" s="1998"/>
      <c r="AC77" s="1998"/>
      <c r="AD77" s="1998"/>
      <c r="AE77" s="1998"/>
    </row>
    <row s="32217" customFormat="1" customHeight="1" ht="18.75">
      <c r="A78" s="1349"/>
      <c r="C78" s="2002"/>
      <c r="D78" s="2004"/>
      <c r="E78" s="907" t="str">
        <f>FHD_NUM_P_40</f>
        <v>4.1.2</v>
      </c>
      <c r="F78" s="2016" t="str">
        <f>FHD_P_40</f>
        <v>Изменение стоимости основных фондов за счет их вывода в эксплуатацию</v>
      </c>
      <c r="G78" s="2245" t="s">
        <v>593</v>
      </c>
      <c r="H78" s="918"/>
      <c r="I78" s="918"/>
      <c r="J78" s="650" t="str">
        <f>FHD_NOTE_P_40</f>
        <v>Указываются изменение стоимости основных фондов за счет их вывода из эксплуатации.</v>
      </c>
      <c r="K78" s="904"/>
      <c r="L78" s="2002"/>
      <c r="M78" s="2002"/>
      <c r="R78" s="2002"/>
      <c r="U78" s="905"/>
      <c r="AA78" s="1998"/>
      <c r="AB78" s="1998"/>
      <c r="AC78" s="1998"/>
      <c r="AD78" s="1998"/>
      <c r="AE78" s="1998"/>
    </row>
    <row s="32217" customFormat="1" customHeight="1" ht="18.75">
      <c r="A79" s="1349"/>
      <c r="C79" s="2002"/>
      <c r="D79" s="2004"/>
      <c r="E79" s="907" t="str">
        <f>FHD_NUM_P_41</f>
        <v>4.2</v>
      </c>
      <c r="F79" s="1890" t="str">
        <f>FHD_P_41</f>
        <v>Изменение стоимости основных фондов за счет их переоценки</v>
      </c>
      <c r="G79" s="2246" t="s">
        <v>593</v>
      </c>
      <c r="H79" s="918"/>
      <c r="I79" s="918"/>
      <c r="J79" s="650" t="str">
        <f>FHD_NOTE_P_41</f>
        <v/>
      </c>
      <c r="K79" s="904"/>
      <c r="L79" s="2002"/>
      <c r="M79" s="2002"/>
      <c r="R79" s="2002"/>
      <c r="U79" s="905"/>
      <c r="AA79" s="1998"/>
      <c r="AB79" s="1998"/>
      <c r="AC79" s="1998"/>
      <c r="AD79" s="1998"/>
      <c r="AE79" s="1998"/>
    </row>
    <row s="32217" customFormat="1" customHeight="1" ht="18.75">
      <c r="A80" s="1351" t="s">
        <v>620</v>
      </c>
      <c r="C80" s="2002"/>
      <c r="D80" s="2004"/>
      <c r="E80" s="907" t="str">
        <f>FHD_NUM_P_42</f>
        <v>5</v>
      </c>
      <c r="F80" s="2247" t="str">
        <f>FHD_P_42</f>
        <v>Валовая прибыль (убытки) от продажи товаров и услуг по регулируемым видам деятельности в сфере горячего водоснабжения</v>
      </c>
      <c r="G80" s="2245" t="s">
        <v>593</v>
      </c>
      <c r="H80" s="1338"/>
      <c r="I80" s="918"/>
      <c r="J80" s="650" t="str">
        <f>FHD_NOTE_P_42</f>
        <v/>
      </c>
      <c r="K80" s="904"/>
      <c r="L80" s="2002"/>
      <c r="M80" s="2002"/>
      <c r="R80" s="2002"/>
      <c r="U80" s="905"/>
      <c r="AA80" s="1998"/>
      <c r="AB80" s="1998"/>
      <c r="AC80" s="1998"/>
      <c r="AD80" s="1998"/>
      <c r="AE80" s="1998"/>
    </row>
    <row s="32217" customFormat="1" customHeight="1" ht="18.75">
      <c r="A81" s="1349"/>
      <c r="C81" s="2002"/>
      <c r="D81" s="2004"/>
      <c r="E81" s="907" t="str">
        <f>FHD_NUM_P_43</f>
        <v>6</v>
      </c>
      <c r="F81" s="2247" t="str">
        <f>FHD_P_43</f>
        <v>Годовая бухгалтерская (финансовая) отчетность, включая бухгалтерский баланс и приложения к нему</v>
      </c>
      <c r="G81" s="2245" t="s">
        <v>347</v>
      </c>
      <c r="H81" s="1417"/>
      <c r="I81" s="1179"/>
      <c r="J81" s="65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904"/>
      <c r="L81" s="2002"/>
      <c r="M81" s="2002"/>
      <c r="R81" s="2002"/>
      <c r="U81" s="905"/>
      <c r="AA81" s="1998"/>
      <c r="AB81" s="1998"/>
      <c r="AC81" s="1998"/>
      <c r="AD81" s="1998"/>
      <c r="AE81" s="1998"/>
    </row>
    <row s="36826" customFormat="1" customHeight="1" ht="18.75" hidden="1">
      <c r="A82" s="2633" t="s">
        <v>621</v>
      </c>
      <c r="C82" s="1096"/>
      <c r="D82" s="1094"/>
      <c r="E82" s="907" t="str">
        <f>FHD_NUM_P_44</f>
        <v/>
      </c>
      <c r="F82" s="2247" t="str">
        <f>FHD_P_44</f>
        <v/>
      </c>
      <c r="G82" s="2248" t="s">
        <v>622</v>
      </c>
      <c r="H82" s="1339"/>
      <c r="I82" s="938"/>
      <c r="J82" s="650" t="str">
        <f>FHD_NOTE_P_44</f>
        <v/>
      </c>
      <c r="K82" s="1095"/>
      <c r="L82" s="1096"/>
      <c r="M82" s="1096"/>
      <c r="R82" s="1096"/>
      <c r="U82" s="1097"/>
      <c r="AA82" s="1098"/>
      <c r="AB82" s="1098"/>
      <c r="AC82" s="1098"/>
      <c r="AD82" s="1098"/>
      <c r="AE82" s="1098"/>
    </row>
    <row s="36826" customFormat="1" customHeight="1" ht="18.75" hidden="1">
      <c r="A83" s="2633"/>
      <c r="C83" s="1096"/>
      <c r="D83" s="1094"/>
      <c r="E83" s="907" t="str">
        <f>FHD_NUM_P_45</f>
        <v/>
      </c>
      <c r="F83" s="2247" t="str">
        <f>FHD_P_45</f>
        <v/>
      </c>
      <c r="G83" s="2248" t="s">
        <v>622</v>
      </c>
      <c r="H83" s="1339"/>
      <c r="I83" s="938"/>
      <c r="J83" s="650" t="str">
        <f>FHD_NOTE_P_45</f>
        <v/>
      </c>
      <c r="K83" s="1095"/>
      <c r="L83" s="1096"/>
      <c r="M83" s="1096"/>
      <c r="R83" s="1096"/>
      <c r="U83" s="1097"/>
      <c r="AA83" s="1098"/>
      <c r="AB83" s="1098"/>
      <c r="AC83" s="1098"/>
      <c r="AD83" s="1098"/>
      <c r="AE83" s="1098"/>
    </row>
    <row s="36826" customFormat="1" customHeight="1" ht="18.75" hidden="1">
      <c r="A84" s="2633"/>
      <c r="C84" s="1096"/>
      <c r="D84" s="1099"/>
      <c r="E84" s="907" t="str">
        <f>FHD_NUM_P_46</f>
        <v/>
      </c>
      <c r="F84" s="2247" t="str">
        <f>FHD_P_46</f>
        <v/>
      </c>
      <c r="G84" s="2248" t="s">
        <v>622</v>
      </c>
      <c r="H84" s="1339"/>
      <c r="I84" s="938"/>
      <c r="J84" s="650" t="str">
        <f>FHD_NOTE_P_46</f>
        <v/>
      </c>
      <c r="K84" s="1095"/>
      <c r="L84" s="1096"/>
      <c r="M84" s="1096"/>
      <c r="R84" s="1096"/>
      <c r="U84" s="1097"/>
      <c r="AA84" s="1098"/>
      <c r="AB84" s="1098"/>
      <c r="AC84" s="1098"/>
      <c r="AD84" s="1098"/>
      <c r="AE84" s="1098"/>
    </row>
    <row s="36826" customFormat="1" customHeight="1" ht="18.75" hidden="1">
      <c r="A85" s="2633"/>
      <c r="C85" s="1096"/>
      <c r="D85" s="1094"/>
      <c r="E85" s="907" t="str">
        <f>FHD_NUM_P_47</f>
        <v/>
      </c>
      <c r="F85" s="2247" t="str">
        <f>FHD_P_47</f>
        <v/>
      </c>
      <c r="G85" s="2248" t="s">
        <v>622</v>
      </c>
      <c r="H85" s="1339"/>
      <c r="I85" s="938"/>
      <c r="J85" s="650" t="str">
        <f>FHD_NOTE_P_47</f>
        <v/>
      </c>
      <c r="K85" s="1095"/>
      <c r="L85" s="1096"/>
      <c r="M85" s="1096"/>
      <c r="R85" s="1096"/>
      <c r="U85" s="1097"/>
      <c r="AA85" s="1098"/>
      <c r="AB85" s="1098"/>
      <c r="AC85" s="1098"/>
      <c r="AD85" s="1098"/>
      <c r="AE85" s="1098"/>
    </row>
    <row s="36835" customFormat="1" customHeight="1" ht="18.75" hidden="1">
      <c r="A86" s="2633"/>
      <c r="B86" s="1271"/>
      <c r="C86" s="1096"/>
      <c r="D86" s="1094"/>
      <c r="E86" s="907" t="str">
        <f>FHD_NUM_P_48</f>
        <v/>
      </c>
      <c r="F86" s="2247" t="str">
        <f>FHD_P_48</f>
        <v/>
      </c>
      <c r="G86" s="2248" t="s">
        <v>622</v>
      </c>
      <c r="H86" s="1339"/>
      <c r="I86" s="938"/>
      <c r="J86" s="650" t="str">
        <f>FHD_NOTE_P_48</f>
        <v/>
      </c>
      <c r="K86" s="1095"/>
      <c r="L86" s="1096"/>
      <c r="M86" s="1096"/>
      <c r="N86" s="1271"/>
      <c r="O86" s="1271"/>
      <c r="P86" s="1271"/>
      <c r="Q86" s="1271"/>
      <c r="R86" s="1096"/>
      <c r="S86" s="1271"/>
      <c r="T86" s="1271"/>
      <c r="U86" s="1097"/>
      <c r="V86" s="1271"/>
      <c r="W86" s="1271"/>
      <c r="X86" s="1271"/>
      <c r="Y86" s="1271"/>
      <c r="Z86" s="1271"/>
      <c r="AA86" s="1098"/>
      <c r="AB86" s="1098"/>
      <c r="AC86" s="1098"/>
      <c r="AD86" s="1098"/>
      <c r="AE86" s="1098"/>
    </row>
    <row s="36835" customFormat="1" customHeight="1" ht="18.75" hidden="1">
      <c r="A87" s="2633"/>
      <c r="B87" s="1271"/>
      <c r="C87" s="1096"/>
      <c r="D87" s="1094"/>
      <c r="E87" s="907" t="str">
        <f>FHD_NUM_P_49</f>
        <v/>
      </c>
      <c r="F87" s="2247" t="str">
        <f>FHD_P_49</f>
        <v/>
      </c>
      <c r="G87" s="2248" t="s">
        <v>622</v>
      </c>
      <c r="H87" s="1340">
        <f>SUM(H88:H89)</f>
        <v>0</v>
      </c>
      <c r="I87" s="1110">
        <f>SUM(I88:I89)</f>
        <v>0</v>
      </c>
      <c r="J87" s="650" t="str">
        <f>FHD_NOTE_P_49</f>
        <v/>
      </c>
      <c r="K87" s="1095"/>
      <c r="L87" s="1096"/>
      <c r="M87" s="1096"/>
      <c r="N87" s="1271"/>
      <c r="O87" s="1271"/>
      <c r="P87" s="1271"/>
      <c r="Q87" s="1271"/>
      <c r="R87" s="1096"/>
      <c r="S87" s="1271"/>
      <c r="T87" s="1271"/>
      <c r="U87" s="1097"/>
      <c r="V87" s="1271"/>
      <c r="W87" s="1271"/>
      <c r="X87" s="1271"/>
      <c r="Y87" s="1271"/>
      <c r="Z87" s="1271"/>
      <c r="AA87" s="1098"/>
      <c r="AB87" s="1098"/>
      <c r="AC87" s="1098"/>
      <c r="AD87" s="1098"/>
      <c r="AE87" s="1098"/>
    </row>
    <row s="36835" customFormat="1" customHeight="1" ht="18.75" hidden="1">
      <c r="A88" s="2633"/>
      <c r="B88" s="1271"/>
      <c r="C88" s="1096"/>
      <c r="D88" s="1094"/>
      <c r="E88" s="907" t="str">
        <f>FHD_NUM_P_50</f>
        <v/>
      </c>
      <c r="F88" s="2247" t="str">
        <f>FHD_P_50</f>
        <v/>
      </c>
      <c r="G88" s="2248" t="s">
        <v>622</v>
      </c>
      <c r="H88" s="1339"/>
      <c r="I88" s="938"/>
      <c r="J88" s="650" t="str">
        <f>FHD_NOTE_P_50</f>
        <v/>
      </c>
      <c r="K88" s="1095"/>
      <c r="L88" s="1096"/>
      <c r="M88" s="1096"/>
      <c r="N88" s="1271"/>
      <c r="O88" s="1271"/>
      <c r="P88" s="1271"/>
      <c r="Q88" s="1271"/>
      <c r="R88" s="1096"/>
      <c r="S88" s="1271"/>
      <c r="T88" s="1271"/>
      <c r="U88" s="1097"/>
      <c r="V88" s="1271"/>
      <c r="W88" s="1271"/>
      <c r="X88" s="1271"/>
      <c r="Y88" s="1271"/>
      <c r="Z88" s="1271"/>
      <c r="AA88" s="1098"/>
      <c r="AB88" s="1098"/>
      <c r="AC88" s="1098"/>
      <c r="AD88" s="1098"/>
      <c r="AE88" s="1098"/>
    </row>
    <row s="36835" customFormat="1" customHeight="1" ht="18.75" hidden="1">
      <c r="A89" s="2633"/>
      <c r="B89" s="1271"/>
      <c r="C89" s="1096"/>
      <c r="D89" s="1094"/>
      <c r="E89" s="907" t="str">
        <f>FHD_NUM_P_51</f>
        <v/>
      </c>
      <c r="F89" s="2247" t="str">
        <f>FHD_P_51</f>
        <v/>
      </c>
      <c r="G89" s="2248" t="s">
        <v>622</v>
      </c>
      <c r="H89" s="1339"/>
      <c r="I89" s="938"/>
      <c r="J89" s="650" t="str">
        <f>FHD_NOTE_P_51</f>
        <v/>
      </c>
      <c r="K89" s="1095"/>
      <c r="L89" s="1096"/>
      <c r="M89" s="1096"/>
      <c r="N89" s="1271"/>
      <c r="O89" s="1271"/>
      <c r="P89" s="1271"/>
      <c r="Q89" s="1271"/>
      <c r="R89" s="1096"/>
      <c r="S89" s="1271"/>
      <c r="T89" s="1271"/>
      <c r="U89" s="1097"/>
      <c r="V89" s="1271"/>
      <c r="W89" s="1271"/>
      <c r="X89" s="1271"/>
      <c r="Y89" s="1271"/>
      <c r="Z89" s="1271"/>
      <c r="AA89" s="1098"/>
      <c r="AB89" s="1098"/>
      <c r="AC89" s="1098"/>
      <c r="AD89" s="1098"/>
      <c r="AE89" s="1098"/>
    </row>
    <row s="36835" customFormat="1" customHeight="1" ht="18.75" hidden="1">
      <c r="A90" s="2633"/>
      <c r="B90" s="1271"/>
      <c r="C90" s="1096"/>
      <c r="D90" s="1094"/>
      <c r="E90" s="907" t="str">
        <f>FHD_NUM_P_52</f>
        <v/>
      </c>
      <c r="F90" s="2247" t="str">
        <f>FHD_P_52</f>
        <v/>
      </c>
      <c r="G90" s="2248" t="s">
        <v>599</v>
      </c>
      <c r="H90" s="1338"/>
      <c r="I90" s="918"/>
      <c r="J90" s="650" t="str">
        <f>FHD_NOTE_P_52</f>
        <v/>
      </c>
      <c r="K90" s="1095"/>
      <c r="L90" s="1096"/>
      <c r="M90" s="1096"/>
      <c r="N90" s="1271"/>
      <c r="O90" s="1271"/>
      <c r="P90" s="1271"/>
      <c r="Q90" s="1271"/>
      <c r="R90" s="1096"/>
      <c r="S90" s="1271"/>
      <c r="T90" s="1271"/>
      <c r="U90" s="1097"/>
      <c r="V90" s="1271"/>
      <c r="W90" s="1271"/>
      <c r="X90" s="1271"/>
      <c r="Y90" s="1271"/>
      <c r="Z90" s="1271"/>
      <c r="AA90" s="1098"/>
      <c r="AB90" s="1098"/>
      <c r="AC90" s="1098"/>
      <c r="AD90" s="1098"/>
      <c r="AE90" s="1098"/>
    </row>
    <row s="36826" customFormat="1" customHeight="1" ht="18.75">
      <c r="A91" s="2635" t="s">
        <v>623</v>
      </c>
      <c r="C91" s="1096"/>
      <c r="D91" s="1094"/>
      <c r="E91" s="907" t="str">
        <f>FHD_NUM_P_53</f>
        <v>7</v>
      </c>
      <c r="F91" s="2247" t="str">
        <f>FHD_P_53</f>
        <v>Объём приобретаемой холодной воды, используемой для горячего водоснабжения</v>
      </c>
      <c r="G91" s="2248" t="s">
        <v>622</v>
      </c>
      <c r="H91" s="1339"/>
      <c r="I91" s="938"/>
      <c r="J91" s="650" t="str">
        <f>FHD_NOTE_P_53</f>
        <v/>
      </c>
      <c r="K91" s="1095"/>
      <c r="L91" s="1096"/>
      <c r="M91" s="1096"/>
      <c r="R91" s="1096"/>
      <c r="U91" s="1097"/>
      <c r="AA91" s="1098"/>
      <c r="AB91" s="1098"/>
      <c r="AC91" s="1098"/>
      <c r="AD91" s="1098"/>
      <c r="AE91" s="1098"/>
    </row>
    <row s="36826" customFormat="1" customHeight="1" ht="18.75">
      <c r="A92" s="2635"/>
      <c r="C92" s="1096"/>
      <c r="D92" s="1094"/>
      <c r="E92" s="907" t="str">
        <f>FHD_NUM_P_54</f>
        <v>8</v>
      </c>
      <c r="F92" s="2247" t="str">
        <f>FHD_P_54</f>
        <v>Объём холодной воды, получаемой с применением собственных источников водозабора (скважин) и используемой для горячего водоснабжения</v>
      </c>
      <c r="G92" s="2248" t="s">
        <v>622</v>
      </c>
      <c r="H92" s="1339"/>
      <c r="I92" s="938"/>
      <c r="J92" s="650" t="str">
        <f>FHD_NOTE_P_54</f>
        <v/>
      </c>
      <c r="K92" s="1095"/>
      <c r="L92" s="1096"/>
      <c r="M92" s="1096"/>
      <c r="R92" s="1096"/>
      <c r="U92" s="1097"/>
      <c r="AA92" s="1098"/>
      <c r="AB92" s="1098"/>
      <c r="AC92" s="1098"/>
      <c r="AD92" s="1098"/>
      <c r="AE92" s="1098"/>
    </row>
    <row s="36826" customFormat="1" customHeight="1" ht="18.75">
      <c r="A93" s="2635"/>
      <c r="C93" s="1096"/>
      <c r="D93" s="1099"/>
      <c r="E93" s="907" t="str">
        <f>FHD_NUM_P_55</f>
        <v>9</v>
      </c>
      <c r="F93" s="2247" t="str">
        <f>FHD_P_55</f>
        <v>Объём приобретаемой тепловой энергии (мощности), используемой для горячего водоснабжения</v>
      </c>
      <c r="G93" s="2251"/>
      <c r="H93" s="1339"/>
      <c r="I93" s="938"/>
      <c r="J93" s="650" t="str">
        <f>FHD_NOTE_P_55</f>
        <v/>
      </c>
      <c r="K93" s="1095"/>
      <c r="L93" s="1096"/>
      <c r="M93" s="1096"/>
      <c r="R93" s="1096"/>
      <c r="U93" s="1097"/>
      <c r="AA93" s="1098"/>
      <c r="AB93" s="1098"/>
      <c r="AC93" s="1098"/>
      <c r="AD93" s="1098"/>
      <c r="AE93" s="1098"/>
    </row>
    <row s="36826" customFormat="1" customHeight="1" ht="18.75">
      <c r="A94" s="2635"/>
      <c r="C94" s="1096"/>
      <c r="D94" s="1094"/>
      <c r="E94" s="907" t="str">
        <f>FHD_NUM_P_56</f>
        <v>10</v>
      </c>
      <c r="F94" s="2247" t="str">
        <f>FHD_P_56</f>
        <v>Объём тепловой энергии, производимой с применением собственных источников и используемой для горячего водоснабжения</v>
      </c>
      <c r="G94" s="2248" t="s">
        <v>624</v>
      </c>
      <c r="H94" s="1339"/>
      <c r="I94" s="938"/>
      <c r="J94" s="650" t="str">
        <f>FHD_NOTE_P_56</f>
        <v/>
      </c>
      <c r="K94" s="1095"/>
      <c r="L94" s="1096"/>
      <c r="M94" s="1096"/>
      <c r="R94" s="1096"/>
      <c r="U94" s="1097"/>
      <c r="AA94" s="1098"/>
      <c r="AB94" s="1098"/>
      <c r="AC94" s="1098"/>
      <c r="AD94" s="1098"/>
      <c r="AE94" s="1098"/>
    </row>
    <row s="36835" customFormat="1" customHeight="1" ht="18.75">
      <c r="A95" s="2635"/>
      <c r="B95" s="1271"/>
      <c r="C95" s="1096"/>
      <c r="D95" s="1094"/>
      <c r="E95" s="907" t="str">
        <f>FHD_NUM_P_57</f>
        <v>11</v>
      </c>
      <c r="F95" s="2247" t="str">
        <f>FHD_P_57</f>
        <v>Потери горячей воды в сетях (процентов)</v>
      </c>
      <c r="G95" s="2248" t="s">
        <v>599</v>
      </c>
      <c r="H95" s="1338"/>
      <c r="I95" s="918"/>
      <c r="J95" s="650" t="str">
        <f>FHD_NOTE_P_57</f>
        <v/>
      </c>
      <c r="K95" s="1095"/>
      <c r="L95" s="1096"/>
      <c r="M95" s="1096"/>
      <c r="N95" s="1271"/>
      <c r="O95" s="1271"/>
      <c r="P95" s="1271"/>
      <c r="Q95" s="1271"/>
      <c r="R95" s="1096"/>
      <c r="S95" s="1271"/>
      <c r="T95" s="1271"/>
      <c r="U95" s="1097"/>
      <c r="V95" s="1271"/>
      <c r="W95" s="1271"/>
      <c r="X95" s="1271"/>
      <c r="Y95" s="1271"/>
      <c r="Z95" s="1271"/>
      <c r="AA95" s="1098"/>
      <c r="AB95" s="1098"/>
      <c r="AC95" s="1098"/>
      <c r="AD95" s="1098"/>
      <c r="AE95" s="1098"/>
    </row>
    <row customHeight="1" ht="18.75" hidden="1">
      <c r="A96" s="2633" t="s">
        <v>625</v>
      </c>
      <c r="D96" s="2004"/>
      <c r="E96" s="907" t="str">
        <f>FHD_NUM_P_58</f>
        <v/>
      </c>
      <c r="F96" s="2247" t="str">
        <f>FHD_P_58</f>
        <v/>
      </c>
      <c r="G96" s="2248" t="s">
        <v>622</v>
      </c>
      <c r="H96" s="1339"/>
      <c r="I96" s="938"/>
      <c r="J96" s="650" t="str">
        <f>FHD_NOTE_P_58</f>
        <v/>
      </c>
      <c r="K96" s="904"/>
    </row>
    <row customHeight="1" ht="18.75" hidden="1">
      <c r="A97" s="2633"/>
      <c r="D97" s="2004"/>
      <c r="E97" s="907" t="str">
        <f>FHD_NUM_P_59</f>
        <v/>
      </c>
      <c r="F97" s="2247" t="str">
        <f>FHD_P_59</f>
        <v/>
      </c>
      <c r="G97" s="2248" t="s">
        <v>622</v>
      </c>
      <c r="H97" s="1339"/>
      <c r="I97" s="938"/>
      <c r="J97" s="650" t="str">
        <f>FHD_NOTE_P_59</f>
        <v/>
      </c>
      <c r="K97" s="904"/>
    </row>
    <row customHeight="1" ht="18.75" hidden="1">
      <c r="A98" s="2633"/>
      <c r="D98" s="2004"/>
      <c r="E98" s="907" t="str">
        <f>FHD_NUM_P_60</f>
        <v/>
      </c>
      <c r="F98" s="2247" t="str">
        <f>FHD_P_60</f>
        <v/>
      </c>
      <c r="G98" s="2248" t="s">
        <v>622</v>
      </c>
      <c r="H98" s="1339"/>
      <c r="I98" s="938"/>
      <c r="J98" s="650" t="str">
        <f>FHD_NOTE_P_60</f>
        <v/>
      </c>
      <c r="K98" s="904"/>
    </row>
    <row s="32217" customFormat="1" customHeight="1" ht="18.75" hidden="1">
      <c r="A99" s="2633" t="s">
        <v>626</v>
      </c>
      <c r="C99" s="2002"/>
      <c r="D99" s="2004"/>
      <c r="E99" s="907" t="str">
        <f>FHD_NUM_P_61</f>
        <v/>
      </c>
      <c r="F99" s="2247" t="str">
        <f>FHD_P_61</f>
        <v/>
      </c>
      <c r="G99" s="2245" t="s">
        <v>597</v>
      </c>
      <c r="H99" s="1341"/>
      <c r="I99" s="1103"/>
      <c r="J99" s="650" t="str">
        <f>FHD_NOTE_P_61</f>
        <v/>
      </c>
      <c r="K99" s="904"/>
      <c r="L99" s="2002"/>
      <c r="M99" s="2002"/>
      <c r="R99" s="2002"/>
      <c r="U99" s="905"/>
      <c r="AA99" s="1998"/>
      <c r="AB99" s="1998"/>
      <c r="AC99" s="1998"/>
      <c r="AD99" s="1998"/>
      <c r="AE99" s="1998"/>
    </row>
    <row s="32341" customFormat="1" customHeight="1" ht="0.75" hidden="1">
      <c r="A100" s="2633"/>
      <c r="D100" s="909"/>
      <c r="E100" s="1375" t="str">
        <f>E99&amp;".0"</f>
        <v>.0</v>
      </c>
      <c r="F100" s="1356"/>
      <c r="G100" s="1357"/>
      <c r="H100" s="1354"/>
      <c r="I100" s="1354"/>
      <c r="J100" s="1358"/>
    </row>
    <row customHeight="1" ht="15" hidden="1">
      <c r="A101" s="2633"/>
      <c r="D101" s="1999"/>
      <c r="E101" s="1333"/>
      <c r="F101" s="1334" t="s">
        <v>627</v>
      </c>
      <c r="G101" s="933"/>
      <c r="H101" s="934"/>
      <c r="I101" s="934"/>
      <c r="J101" s="1366" t="s">
        <v>628</v>
      </c>
      <c r="K101" s="904"/>
    </row>
    <row s="32217" customFormat="1" customHeight="1" ht="18.75" hidden="1">
      <c r="A102" s="2633"/>
      <c r="C102" s="2002"/>
      <c r="D102" s="2004"/>
      <c r="E102" s="907" t="str">
        <f>FHD_NUM_P_62</f>
        <v/>
      </c>
      <c r="F102" s="2247" t="str">
        <f>FHD_P_62</f>
        <v/>
      </c>
      <c r="G102" s="2244" t="s">
        <v>597</v>
      </c>
      <c r="H102" s="918"/>
      <c r="I102" s="918"/>
      <c r="J102" s="650" t="str">
        <f>FHD_NOTE_P_62</f>
        <v/>
      </c>
      <c r="K102" s="904"/>
      <c r="L102" s="2002"/>
      <c r="M102" s="2002"/>
      <c r="R102" s="2002"/>
      <c r="U102" s="905"/>
      <c r="AA102" s="1998"/>
      <c r="AB102" s="1998"/>
      <c r="AC102" s="1998"/>
      <c r="AD102" s="1998"/>
      <c r="AE102" s="1998"/>
    </row>
    <row s="32217" customFormat="1" customHeight="1" ht="18.75" hidden="1">
      <c r="A103" s="2633"/>
      <c r="C103" s="2002"/>
      <c r="D103" s="2004"/>
      <c r="E103" s="907" t="str">
        <f>FHD_NUM_P_63</f>
        <v/>
      </c>
      <c r="F103" s="2247" t="str">
        <f>FHD_P_63</f>
        <v/>
      </c>
      <c r="G103" s="2244" t="s">
        <v>624</v>
      </c>
      <c r="H103" s="938"/>
      <c r="I103" s="938"/>
      <c r="J103" s="650" t="str">
        <f>FHD_NOTE_P_63</f>
        <v/>
      </c>
      <c r="K103" s="904"/>
      <c r="L103" s="2002"/>
      <c r="M103" s="2002"/>
      <c r="R103" s="2002"/>
      <c r="U103" s="905"/>
      <c r="AA103" s="1998"/>
      <c r="AB103" s="1998"/>
      <c r="AC103" s="1998"/>
      <c r="AD103" s="1998"/>
      <c r="AE103" s="1998"/>
    </row>
    <row s="32217" customFormat="1" customHeight="1" ht="18.75" hidden="1">
      <c r="A104" s="2633"/>
      <c r="C104" s="2002" t="s">
        <v>629</v>
      </c>
      <c r="D104" s="2004"/>
      <c r="E104" s="907" t="str">
        <f>FHD_NUM_P_64</f>
        <v/>
      </c>
      <c r="F104" s="2247" t="str">
        <f>FHD_P_64</f>
        <v/>
      </c>
      <c r="G104" s="2244" t="s">
        <v>624</v>
      </c>
      <c r="H104" s="906"/>
      <c r="I104" s="906"/>
      <c r="J104" s="650" t="str">
        <f>FHD_NOTE_P_64</f>
        <v/>
      </c>
      <c r="K104" s="904"/>
      <c r="L104" s="2002"/>
      <c r="M104" s="2002"/>
      <c r="R104" s="2002"/>
      <c r="U104" s="905"/>
      <c r="AA104" s="1998"/>
      <c r="AB104" s="1998"/>
      <c r="AC104" s="1998"/>
      <c r="AD104" s="1998"/>
      <c r="AE104" s="1998"/>
    </row>
    <row s="32217" customFormat="1" customHeight="1" ht="18.75" hidden="1">
      <c r="A105" s="2633"/>
      <c r="C105" s="2002"/>
      <c r="D105" s="2004"/>
      <c r="E105" s="907" t="str">
        <f>FHD_NUM_P_65</f>
        <v/>
      </c>
      <c r="F105" s="2247" t="str">
        <f>FHD_P_65</f>
        <v/>
      </c>
      <c r="G105" s="2244" t="s">
        <v>624</v>
      </c>
      <c r="H105" s="938"/>
      <c r="I105" s="938"/>
      <c r="J105" s="650" t="str">
        <f>FHD_NOTE_P_65</f>
        <v/>
      </c>
      <c r="K105" s="904"/>
      <c r="L105" s="2002"/>
      <c r="M105" s="2002"/>
      <c r="R105" s="2002"/>
      <c r="U105" s="905"/>
      <c r="AA105" s="1998"/>
      <c r="AB105" s="1998"/>
      <c r="AC105" s="1998"/>
      <c r="AD105" s="1998"/>
      <c r="AE105" s="1998"/>
    </row>
    <row s="32217" customFormat="1" customHeight="1" ht="18.75" hidden="1">
      <c r="A106" s="2633"/>
      <c r="C106" s="2002"/>
      <c r="D106" s="2004"/>
      <c r="E106" s="907" t="str">
        <f>FHD_NUM_P_66</f>
        <v/>
      </c>
      <c r="F106" s="1890" t="str">
        <f>FHD_P_66</f>
        <v/>
      </c>
      <c r="G106" s="2244" t="s">
        <v>624</v>
      </c>
      <c r="H106" s="938"/>
      <c r="I106" s="938"/>
      <c r="J106" s="650" t="str">
        <f>FHD_NOTE_P_66</f>
        <v/>
      </c>
      <c r="K106" s="904"/>
      <c r="L106" s="2002"/>
      <c r="M106" s="2002"/>
      <c r="R106" s="2002"/>
      <c r="U106" s="905"/>
      <c r="AA106" s="1998"/>
      <c r="AB106" s="1998"/>
      <c r="AC106" s="1998"/>
      <c r="AD106" s="1998"/>
      <c r="AE106" s="1998"/>
    </row>
    <row s="32217" customFormat="1" customHeight="1" ht="18.75" hidden="1">
      <c r="A107" s="2633"/>
      <c r="C107" s="2002"/>
      <c r="D107" s="2004"/>
      <c r="E107" s="907" t="str">
        <f>FHD_NUM_P_67</f>
        <v/>
      </c>
      <c r="F107" s="2016" t="str">
        <f>FHD_P_67</f>
        <v/>
      </c>
      <c r="G107" s="2244" t="s">
        <v>624</v>
      </c>
      <c r="H107" s="938"/>
      <c r="I107" s="938"/>
      <c r="J107" s="650" t="str">
        <f>FHD_NOTE_P_67</f>
        <v/>
      </c>
      <c r="K107" s="904"/>
      <c r="L107" s="2002"/>
      <c r="M107" s="2002"/>
      <c r="R107" s="2002"/>
      <c r="U107" s="905"/>
      <c r="AA107" s="1998"/>
      <c r="AB107" s="1998"/>
      <c r="AC107" s="1998"/>
      <c r="AD107" s="1998"/>
      <c r="AE107" s="1998"/>
    </row>
    <row s="32217" customFormat="1" customHeight="1" ht="18.75" hidden="1">
      <c r="A108" s="2633"/>
      <c r="C108" s="2002"/>
      <c r="D108" s="2004"/>
      <c r="E108" s="907" t="str">
        <f>FHD_NUM_P_68</f>
        <v/>
      </c>
      <c r="F108" s="1890" t="str">
        <f>FHD_P_68</f>
        <v/>
      </c>
      <c r="G108" s="2244" t="s">
        <v>624</v>
      </c>
      <c r="H108" s="938"/>
      <c r="I108" s="938"/>
      <c r="J108" s="650" t="str">
        <f>FHD_NOTE_P_68</f>
        <v/>
      </c>
      <c r="K108" s="904"/>
      <c r="L108" s="2002"/>
      <c r="M108" s="2002"/>
      <c r="R108" s="2002"/>
      <c r="U108" s="905"/>
      <c r="AA108" s="1998"/>
      <c r="AB108" s="1998"/>
      <c r="AC108" s="1998"/>
      <c r="AD108" s="1998"/>
      <c r="AE108" s="1998"/>
    </row>
    <row s="32217" customFormat="1" customHeight="1" ht="18.75" hidden="1">
      <c r="A109" s="2633"/>
      <c r="C109" s="2002"/>
      <c r="D109" s="2004"/>
      <c r="E109" s="907" t="str">
        <f>FHD_NUM_P_69</f>
        <v/>
      </c>
      <c r="F109" s="1890" t="str">
        <f>FHD_P_69</f>
        <v/>
      </c>
      <c r="G109" s="2244" t="s">
        <v>624</v>
      </c>
      <c r="H109" s="938"/>
      <c r="I109" s="938"/>
      <c r="J109" s="650" t="str">
        <f>FHD_NOTE_P_69</f>
        <v/>
      </c>
      <c r="K109" s="904"/>
      <c r="L109" s="2002"/>
      <c r="M109" s="2002"/>
      <c r="R109" s="2002"/>
      <c r="U109" s="905"/>
      <c r="AA109" s="1998"/>
      <c r="AB109" s="1998"/>
      <c r="AC109" s="1998"/>
      <c r="AD109" s="1998"/>
      <c r="AE109" s="1998"/>
    </row>
    <row s="32217" customFormat="1" customHeight="1" ht="22.5" hidden="1">
      <c r="A110" s="2633"/>
      <c r="C110" s="2002"/>
      <c r="D110" s="2004"/>
      <c r="E110" s="907" t="str">
        <f>FHD_NUM_P_70</f>
        <v/>
      </c>
      <c r="F110" s="2247" t="str">
        <f>FHD_P_70</f>
        <v/>
      </c>
      <c r="G110" s="2244" t="s">
        <v>630</v>
      </c>
      <c r="H110" s="918"/>
      <c r="I110" s="918"/>
      <c r="J110" s="650" t="str">
        <f>FHD_NOTE_P_70</f>
        <v/>
      </c>
      <c r="K110" s="904"/>
      <c r="L110" s="2002"/>
      <c r="M110" s="2002"/>
      <c r="R110" s="2002"/>
      <c r="U110" s="905"/>
      <c r="AA110" s="1998"/>
      <c r="AB110" s="1998"/>
      <c r="AC110" s="1998"/>
      <c r="AD110" s="1998"/>
      <c r="AE110" s="1998"/>
    </row>
    <row s="32217" customFormat="1" customHeight="1" ht="22.5" hidden="1">
      <c r="A111" s="2633"/>
      <c r="C111" s="2002"/>
      <c r="D111" s="2004"/>
      <c r="E111" s="907" t="str">
        <f>FHD_NUM_P_71</f>
        <v/>
      </c>
      <c r="F111" s="2247" t="str">
        <f>FHD_P_71</f>
        <v/>
      </c>
      <c r="G111" s="2244" t="s">
        <v>630</v>
      </c>
      <c r="H111" s="918"/>
      <c r="I111" s="918"/>
      <c r="J111" s="650" t="str">
        <f>FHD_NOTE_P_71</f>
        <v/>
      </c>
      <c r="K111" s="904"/>
      <c r="L111" s="2002"/>
      <c r="M111" s="2002"/>
      <c r="R111" s="2002"/>
      <c r="U111" s="905"/>
      <c r="AA111" s="1998"/>
      <c r="AB111" s="1998"/>
      <c r="AC111" s="1998"/>
      <c r="AD111" s="1998"/>
      <c r="AE111" s="1998"/>
    </row>
    <row customHeight="1" ht="18.75">
      <c r="D112" s="2004"/>
      <c r="E112" s="907" t="str">
        <f>FHD_NUM_P_72</f>
        <v>12</v>
      </c>
      <c r="F112" s="2247" t="str">
        <f>FHD_P_72</f>
        <v>Среднесписочная численность основного производственного персонала</v>
      </c>
      <c r="G112" s="2243" t="s">
        <v>631</v>
      </c>
      <c r="H112" s="938"/>
      <c r="I112" s="938"/>
      <c r="J112" s="650" t="str">
        <f>FHD_NOTE_P_72</f>
        <v/>
      </c>
      <c r="K112" s="904"/>
    </row>
    <row customHeight="1" ht="18.75" hidden="1">
      <c r="A113" s="1351" t="s">
        <v>632</v>
      </c>
      <c r="D113" s="2004"/>
      <c r="E113" s="907" t="str">
        <f>FHD_NUM_P_73</f>
        <v/>
      </c>
      <c r="F113" s="2247" t="str">
        <f>FHD_P_73</f>
        <v/>
      </c>
      <c r="G113" s="1332" t="s">
        <v>631</v>
      </c>
      <c r="H113" s="1330"/>
      <c r="I113" s="1330"/>
      <c r="J113" s="650" t="str">
        <f>FHD_NOTE_P_73</f>
        <v/>
      </c>
      <c r="K113" s="904"/>
    </row>
    <row customHeight="1" ht="33.75">
      <c r="A114" s="1351" t="s">
        <v>633</v>
      </c>
      <c r="D114" s="2004"/>
      <c r="E114" s="907" t="str">
        <f>FHD_NUM_P_74</f>
        <v>13</v>
      </c>
      <c r="F114" s="2247" t="str">
        <f>FHD_P_74</f>
        <v>Удельный расход электрической энергии на подачу воды в сеть</v>
      </c>
      <c r="G114" s="2243" t="s">
        <v>634</v>
      </c>
      <c r="H114" s="938"/>
      <c r="I114" s="938"/>
      <c r="J114" s="650" t="str">
        <f>FHD_NOTE_P_74</f>
        <v/>
      </c>
      <c r="K114" s="904"/>
    </row>
    <row s="36835" customFormat="1" customHeight="1" ht="18.75" hidden="1">
      <c r="A115" s="2635" t="s">
        <v>635</v>
      </c>
      <c r="B115" s="1271"/>
      <c r="C115" s="1096"/>
      <c r="D115" s="1094"/>
      <c r="E115" s="907" t="str">
        <f>FHD_NUM_P_75</f>
        <v/>
      </c>
      <c r="F115" s="2247" t="str">
        <f>FHD_P_75</f>
        <v/>
      </c>
      <c r="G115" s="2243" t="s">
        <v>599</v>
      </c>
      <c r="H115" s="918"/>
      <c r="I115" s="918"/>
      <c r="J115" s="650" t="str">
        <f>FHD_NOTE_P_75</f>
        <v/>
      </c>
      <c r="K115" s="1095"/>
      <c r="L115" s="1096"/>
      <c r="M115" s="1096"/>
      <c r="N115" s="1271"/>
      <c r="O115" s="1271"/>
      <c r="P115" s="1271"/>
      <c r="Q115" s="1271"/>
      <c r="R115" s="1096"/>
      <c r="S115" s="1271"/>
      <c r="T115" s="1271"/>
      <c r="U115" s="1097"/>
      <c r="V115" s="1271"/>
      <c r="W115" s="1271"/>
      <c r="X115" s="1271"/>
      <c r="Y115" s="1271"/>
      <c r="Z115" s="1271"/>
      <c r="AA115" s="1098"/>
      <c r="AB115" s="1098"/>
      <c r="AC115" s="1098"/>
      <c r="AD115" s="1098"/>
      <c r="AE115" s="1098"/>
    </row>
    <row s="36835" customFormat="1" customHeight="1" ht="18.75" hidden="1">
      <c r="A116" s="2635"/>
      <c r="B116" s="1271"/>
      <c r="C116" s="1096"/>
      <c r="D116" s="1094"/>
      <c r="E116" s="907" t="str">
        <f>FHD_NUM_P_76</f>
        <v/>
      </c>
      <c r="F116" s="2247" t="str">
        <f>FHD_P_76</f>
        <v/>
      </c>
      <c r="G116" s="2243" t="s">
        <v>599</v>
      </c>
      <c r="H116" s="918"/>
      <c r="I116" s="918"/>
      <c r="J116" s="650" t="str">
        <f>FHD_NOTE_P_76</f>
        <v/>
      </c>
      <c r="K116" s="1095"/>
      <c r="L116" s="1096"/>
      <c r="M116" s="1096"/>
      <c r="N116" s="1271"/>
      <c r="O116" s="1271"/>
      <c r="P116" s="1271"/>
      <c r="Q116" s="1271"/>
      <c r="R116" s="1096"/>
      <c r="S116" s="1271"/>
      <c r="T116" s="1271"/>
      <c r="U116" s="1097"/>
      <c r="V116" s="1271"/>
      <c r="W116" s="1271"/>
      <c r="X116" s="1271"/>
      <c r="Y116" s="1271"/>
      <c r="Z116" s="1271"/>
      <c r="AA116" s="1098"/>
      <c r="AB116" s="1098"/>
      <c r="AC116" s="1098"/>
      <c r="AD116" s="1098"/>
      <c r="AE116" s="1098"/>
    </row>
    <row s="36835" customFormat="1" customHeight="1" ht="18.75" hidden="1">
      <c r="A117" s="2635"/>
      <c r="B117" s="1271"/>
      <c r="C117" s="1096"/>
      <c r="D117" s="1094"/>
      <c r="E117" s="907" t="str">
        <f>FHD_NUM_P_77</f>
        <v/>
      </c>
      <c r="F117" s="2247" t="str">
        <f>FHD_P_77</f>
        <v/>
      </c>
      <c r="G117" s="2243" t="s">
        <v>599</v>
      </c>
      <c r="H117" s="918"/>
      <c r="I117" s="918"/>
      <c r="J117" s="650" t="str">
        <f>FHD_NOTE_P_77</f>
        <v/>
      </c>
      <c r="K117" s="1095"/>
      <c r="L117" s="1096"/>
      <c r="M117" s="1096"/>
      <c r="N117" s="1271"/>
      <c r="O117" s="1271"/>
      <c r="P117" s="1271"/>
      <c r="Q117" s="1271"/>
      <c r="R117" s="1096"/>
      <c r="S117" s="1271"/>
      <c r="T117" s="1271"/>
      <c r="U117" s="1097"/>
      <c r="V117" s="1271"/>
      <c r="W117" s="1271"/>
      <c r="X117" s="1271"/>
      <c r="Y117" s="1271"/>
      <c r="Z117" s="1271"/>
      <c r="AA117" s="1098"/>
      <c r="AB117" s="1098"/>
      <c r="AC117" s="1098"/>
      <c r="AD117" s="1098"/>
      <c r="AE117" s="1098"/>
    </row>
    <row s="32341" customFormat="1" customHeight="1" ht="0.75" hidden="1">
      <c r="A118" s="2635"/>
      <c r="D118" s="909"/>
      <c r="E118" s="1375" t="str">
        <f>E117&amp;".0"</f>
        <v>.0</v>
      </c>
      <c r="F118" s="1359"/>
      <c r="G118" s="2017"/>
      <c r="H118" s="1354"/>
      <c r="I118" s="1354"/>
      <c r="J118" s="1358"/>
    </row>
    <row s="36835" customFormat="1" customHeight="1" ht="15" hidden="1">
      <c r="A119" s="2635"/>
      <c r="B119" s="1271"/>
      <c r="C119" s="1096"/>
      <c r="D119" s="1107"/>
      <c r="E119" s="1335"/>
      <c r="F119" s="1336" t="s">
        <v>636</v>
      </c>
      <c r="G119" s="1108"/>
      <c r="H119" s="1109"/>
      <c r="I119" s="1109"/>
      <c r="J119" s="1365" t="s">
        <v>637</v>
      </c>
      <c r="K119" s="1095"/>
      <c r="L119" s="1096"/>
      <c r="M119" s="1096"/>
      <c r="N119" s="1271"/>
      <c r="O119" s="1271"/>
      <c r="P119" s="1271"/>
      <c r="Q119" s="1271"/>
      <c r="R119" s="1096"/>
      <c r="S119" s="1271"/>
      <c r="T119" s="1271"/>
      <c r="U119" s="1097"/>
      <c r="V119" s="1271"/>
      <c r="W119" s="1271"/>
      <c r="X119" s="1271"/>
      <c r="Y119" s="1271"/>
      <c r="Z119" s="1271"/>
      <c r="AA119" s="1098"/>
      <c r="AB119" s="1098"/>
      <c r="AC119" s="1098"/>
      <c r="AD119" s="1098"/>
      <c r="AE119" s="1098"/>
    </row>
    <row customHeight="1" ht="22.5" hidden="1">
      <c r="A120" s="2633" t="s">
        <v>638</v>
      </c>
      <c r="D120" s="2004"/>
      <c r="E120" s="907" t="str">
        <f>FHD_NUM_P_78</f>
        <v/>
      </c>
      <c r="F120" s="2247" t="str">
        <f>FHD_P_78</f>
        <v/>
      </c>
      <c r="G120" s="2244" t="s">
        <v>601</v>
      </c>
      <c r="H120" s="938"/>
      <c r="I120" s="938"/>
      <c r="J120" s="650" t="str">
        <f>FHD_NOTE_P_78</f>
        <v/>
      </c>
      <c r="K120" s="904"/>
    </row>
    <row s="32341" customFormat="1" customHeight="1" ht="0.75" hidden="1">
      <c r="A121" s="2633"/>
      <c r="D121" s="909"/>
      <c r="E121" s="1375" t="str">
        <f>E120&amp;".0"</f>
        <v>.0</v>
      </c>
      <c r="F121" s="1359"/>
      <c r="G121" s="2017"/>
      <c r="H121" s="1354"/>
      <c r="I121" s="1354"/>
      <c r="J121" s="1358"/>
    </row>
    <row customHeight="1" ht="15" hidden="1">
      <c r="A122" s="2633"/>
      <c r="D122" s="1999"/>
      <c r="E122" s="931"/>
      <c r="F122" s="1531" t="s">
        <v>627</v>
      </c>
      <c r="G122" s="933"/>
      <c r="H122" s="934"/>
      <c r="I122" s="934"/>
      <c r="J122" s="1366" t="s">
        <v>639</v>
      </c>
      <c r="K122" s="904"/>
    </row>
    <row customHeight="1" ht="22.5" hidden="1">
      <c r="A123" s="2633"/>
      <c r="D123" s="2004"/>
      <c r="E123" s="907" t="str">
        <f>FHD_NUM_P_79</f>
        <v/>
      </c>
      <c r="F123" s="2247" t="str">
        <f>FHD_P_79</f>
        <v/>
      </c>
      <c r="G123" s="2245" t="s">
        <v>603</v>
      </c>
      <c r="H123" s="938"/>
      <c r="I123" s="938"/>
      <c r="J123" s="650" t="str">
        <f>FHD_NOTE_P_79</f>
        <v/>
      </c>
      <c r="K123" s="904"/>
    </row>
    <row s="32341" customFormat="1" customHeight="1" ht="0.75" hidden="1">
      <c r="A124" s="2633"/>
      <c r="D124" s="909"/>
      <c r="E124" s="1375" t="str">
        <f>E123&amp;".0"</f>
        <v>.0</v>
      </c>
      <c r="F124" s="1360"/>
      <c r="G124" s="2017"/>
      <c r="H124" s="1354"/>
      <c r="I124" s="1354"/>
      <c r="J124" s="1358"/>
    </row>
    <row customHeight="1" ht="15" hidden="1">
      <c r="A125" s="2633"/>
      <c r="D125" s="1999"/>
      <c r="E125" s="931"/>
      <c r="F125" s="1531" t="s">
        <v>627</v>
      </c>
      <c r="G125" s="933"/>
      <c r="H125" s="934"/>
      <c r="I125" s="934"/>
      <c r="J125" s="1366" t="s">
        <v>640</v>
      </c>
      <c r="K125" s="904"/>
    </row>
    <row customHeight="1" ht="22.5" hidden="1">
      <c r="A126" s="2633"/>
      <c r="D126" s="2004"/>
      <c r="E126" s="907" t="str">
        <f>FHD_NUM_P_80</f>
        <v/>
      </c>
      <c r="F126" s="2247" t="str">
        <f>FHD_P_80</f>
        <v/>
      </c>
      <c r="G126" s="2245" t="s">
        <v>641</v>
      </c>
      <c r="H126" s="918"/>
      <c r="I126" s="918"/>
      <c r="J126" s="650" t="str">
        <f>FHD_NOTE_P_80</f>
        <v/>
      </c>
      <c r="K126" s="904"/>
    </row>
    <row customHeight="1" ht="18.75" hidden="1">
      <c r="A127" s="2633"/>
      <c r="D127" s="2004"/>
      <c r="E127" s="907" t="str">
        <f>FHD_NUM_P_81</f>
        <v/>
      </c>
      <c r="F127" s="2247" t="str">
        <f>FHD_P_81</f>
        <v/>
      </c>
      <c r="G127" s="2245" t="s">
        <v>642</v>
      </c>
      <c r="H127" s="918"/>
      <c r="I127" s="918"/>
      <c r="J127" s="650" t="str">
        <f>FHD_NOTE_P_81</f>
        <v/>
      </c>
      <c r="K127" s="904"/>
    </row>
    <row customHeight="1" ht="18.75" hidden="1">
      <c r="A128" s="2633"/>
      <c r="C128" s="2002" t="s">
        <v>629</v>
      </c>
      <c r="D128" s="2004"/>
      <c r="E128" s="907" t="str">
        <f>FHD_NUM_P_82</f>
        <v/>
      </c>
      <c r="F128" s="2247" t="str">
        <f>FHD_P_82</f>
        <v/>
      </c>
      <c r="G128" s="2245" t="s">
        <v>347</v>
      </c>
      <c r="H128" s="762"/>
      <c r="I128" s="762"/>
      <c r="J128" s="650" t="str">
        <f>FHD_NOTE_P_82</f>
        <v/>
      </c>
      <c r="K128" s="904"/>
    </row>
    <row customHeight="1" ht="18.75" hidden="1">
      <c r="A129" s="2633"/>
      <c r="C129" s="2002" t="s">
        <v>629</v>
      </c>
      <c r="D129" s="2004"/>
      <c r="E129" s="907" t="str">
        <f>FHD_NUM_P_83</f>
        <v/>
      </c>
      <c r="F129" s="1890" t="str">
        <f>FHD_P_83</f>
        <v/>
      </c>
      <c r="G129" s="2245" t="s">
        <v>347</v>
      </c>
      <c r="H129" s="762"/>
      <c r="I129" s="762"/>
      <c r="J129" s="650" t="str">
        <f>FHD_NOTE_P_83</f>
        <v/>
      </c>
      <c r="K129" s="904"/>
    </row>
    <row customHeight="1" ht="18.75" hidden="1">
      <c r="A130" s="2633"/>
      <c r="C130" s="2002" t="s">
        <v>629</v>
      </c>
      <c r="D130" s="2004"/>
      <c r="E130" s="907" t="str">
        <f>FHD_NUM_P_84</f>
        <v/>
      </c>
      <c r="F130" s="1890" t="str">
        <f>FHD_P_84</f>
        <v/>
      </c>
      <c r="G130" s="2245" t="s">
        <v>347</v>
      </c>
      <c r="H130" s="762"/>
      <c r="I130" s="762"/>
      <c r="J130" s="650" t="str">
        <f>FHD_NOTE_P_84</f>
        <v/>
      </c>
      <c r="K130" s="904"/>
    </row>
    <row customHeight="1" ht="11.25">
      <c r="D131" s="2004"/>
    </row>
    <row customHeight="1" ht="12.75">
      <c r="D132" s="2004"/>
      <c r="E132" s="697"/>
      <c r="F132" s="730"/>
      <c r="G132" s="730"/>
      <c r="H132" s="730"/>
      <c r="I132" s="2013"/>
      <c r="J132" s="942"/>
    </row>
    <row s="32338" customFormat="1" customHeight="1" ht="11.25">
      <c r="A133" s="1349"/>
      <c r="B133" s="2002"/>
      <c r="C133" s="2002"/>
      <c r="D133" s="712"/>
      <c r="F133" s="2006"/>
      <c r="G133" s="1997"/>
      <c r="H133" s="1997"/>
      <c r="I133" s="1997"/>
      <c r="K133" s="1523"/>
      <c r="L133" s="2002"/>
      <c r="M133" s="2002"/>
      <c r="N133" s="1523"/>
      <c r="O133" s="1523"/>
      <c r="P133" s="1523"/>
      <c r="Q133" s="1523"/>
      <c r="R133" s="2002"/>
      <c r="S133" s="1523"/>
      <c r="T133" s="1523"/>
      <c r="U133" s="905"/>
      <c r="V133" s="1523"/>
      <c r="W133" s="1523"/>
      <c r="X133" s="1523"/>
      <c r="Y133" s="1523"/>
      <c r="Z133" s="1523"/>
      <c r="AA133" s="1998"/>
      <c r="AB133" s="927"/>
      <c r="AC133" s="927"/>
      <c r="AD133" s="927"/>
      <c r="AE133" s="927"/>
    </row>
    <row s="32338" customFormat="1" customHeight="1" ht="11.25">
      <c r="A134" s="1349"/>
      <c r="B134" s="2002"/>
      <c r="C134" s="2002"/>
      <c r="D134" s="712"/>
      <c r="K134" s="1523"/>
      <c r="L134" s="2002"/>
      <c r="M134" s="2002"/>
      <c r="N134" s="1523"/>
      <c r="O134" s="1523"/>
      <c r="P134" s="1523"/>
      <c r="Q134" s="1523"/>
      <c r="R134" s="2002"/>
      <c r="S134" s="1523"/>
      <c r="T134" s="1523"/>
      <c r="U134" s="905"/>
      <c r="V134" s="1523"/>
      <c r="W134" s="1523"/>
      <c r="X134" s="1523"/>
      <c r="Y134" s="1523"/>
      <c r="Z134" s="1523"/>
      <c r="AA134" s="1998"/>
      <c r="AB134" s="927"/>
      <c r="AC134" s="927"/>
      <c r="AD134" s="927"/>
      <c r="AE134" s="927"/>
    </row>
    <row s="32338" customFormat="1" customHeight="1" ht="11.25">
      <c r="A135" s="1349"/>
      <c r="B135" s="2002"/>
      <c r="C135" s="2002"/>
      <c r="D135" s="712"/>
      <c r="K135" s="1523"/>
      <c r="L135" s="2002"/>
      <c r="M135" s="2002"/>
      <c r="N135" s="1523"/>
      <c r="O135" s="1523"/>
      <c r="P135" s="1523"/>
      <c r="Q135" s="1523"/>
      <c r="R135" s="2002"/>
      <c r="S135" s="1523"/>
      <c r="T135" s="1523"/>
      <c r="U135" s="905"/>
      <c r="V135" s="1523"/>
      <c r="W135" s="1523"/>
      <c r="X135" s="1523"/>
      <c r="Y135" s="1523"/>
      <c r="Z135" s="1523"/>
      <c r="AA135" s="1998"/>
      <c r="AB135" s="927"/>
      <c r="AC135" s="927"/>
      <c r="AD135" s="927"/>
      <c r="AE135" s="927"/>
    </row>
    <row s="32338" customFormat="1" customHeight="1" ht="11.25">
      <c r="A136" s="1349"/>
      <c r="B136" s="2002"/>
      <c r="C136" s="2002"/>
      <c r="D136" s="712"/>
      <c r="H136" s="927" t="str">
        <f>IF(H30-H31&lt;&gt;H72,"WARNING","")</f>
        <v/>
      </c>
      <c r="I136" s="927" t="str">
        <f>IF(I30-I31&lt;&gt;I72,"WARNING","")</f>
        <v/>
      </c>
      <c r="K136" s="1523"/>
      <c r="L136" s="2002"/>
      <c r="M136" s="2002"/>
      <c r="N136" s="1523"/>
      <c r="O136" s="1523"/>
      <c r="P136" s="1523"/>
      <c r="Q136" s="1523"/>
      <c r="R136" s="2002"/>
      <c r="S136" s="1523"/>
      <c r="T136" s="1523"/>
      <c r="U136" s="905"/>
      <c r="V136" s="1523"/>
      <c r="W136" s="1523"/>
      <c r="X136" s="1523"/>
      <c r="Y136" s="1523"/>
      <c r="Z136" s="1523"/>
      <c r="AA136" s="1998"/>
      <c r="AB136" s="927"/>
      <c r="AC136" s="927"/>
      <c r="AD136" s="927"/>
      <c r="AE136" s="927"/>
    </row>
    <row s="32338" customFormat="1" customHeight="1" ht="11.25">
      <c r="A137" s="1349"/>
      <c r="B137" s="2002"/>
      <c r="C137" s="2002"/>
      <c r="D137" s="712"/>
      <c r="K137" s="1523"/>
      <c r="L137" s="2002"/>
      <c r="M137" s="2002"/>
      <c r="N137" s="1523"/>
      <c r="O137" s="1523"/>
      <c r="P137" s="1523"/>
      <c r="Q137" s="1523"/>
      <c r="R137" s="2002"/>
      <c r="S137" s="1523"/>
      <c r="T137" s="1523"/>
      <c r="U137" s="905"/>
      <c r="V137" s="1523"/>
      <c r="W137" s="1523"/>
      <c r="X137" s="1523"/>
      <c r="Y137" s="1523"/>
      <c r="Z137" s="1523"/>
      <c r="AA137" s="1998"/>
      <c r="AB137" s="927"/>
      <c r="AC137" s="927"/>
      <c r="AD137" s="927"/>
      <c r="AE137" s="927"/>
    </row>
    <row s="32338" customFormat="1" customHeight="1" ht="11.25">
      <c r="A138" s="1349"/>
      <c r="B138" s="2002"/>
      <c r="C138" s="2002"/>
      <c r="D138" s="712"/>
      <c r="K138" s="1523"/>
      <c r="L138" s="2002"/>
      <c r="M138" s="2002"/>
      <c r="N138" s="1523"/>
      <c r="O138" s="1523"/>
      <c r="P138" s="1523"/>
      <c r="Q138" s="1523"/>
      <c r="R138" s="2002"/>
      <c r="S138" s="1523"/>
      <c r="T138" s="1523"/>
      <c r="U138" s="905"/>
      <c r="V138" s="1523"/>
      <c r="W138" s="1523"/>
      <c r="X138" s="1523"/>
      <c r="Y138" s="1523"/>
      <c r="Z138" s="1523"/>
      <c r="AA138" s="1998"/>
      <c r="AB138" s="927"/>
      <c r="AC138" s="927"/>
      <c r="AD138" s="927"/>
      <c r="AE138" s="927"/>
    </row>
    <row s="32338" customFormat="1" customHeight="1" ht="11.25">
      <c r="A139" s="1349"/>
      <c r="B139" s="2002"/>
      <c r="C139" s="2002"/>
      <c r="D139" s="712"/>
      <c r="K139" s="1523"/>
      <c r="L139" s="2002"/>
      <c r="M139" s="2002"/>
      <c r="N139" s="1523"/>
      <c r="O139" s="1523"/>
      <c r="P139" s="1523"/>
      <c r="Q139" s="1523"/>
      <c r="R139" s="2002"/>
      <c r="S139" s="1523"/>
      <c r="T139" s="1523"/>
      <c r="U139" s="905"/>
      <c r="V139" s="1523"/>
      <c r="W139" s="1523"/>
      <c r="X139" s="1523"/>
      <c r="Y139" s="1523"/>
      <c r="Z139" s="1523"/>
      <c r="AA139" s="1998"/>
      <c r="AB139" s="927"/>
      <c r="AC139" s="927"/>
      <c r="AD139" s="927"/>
      <c r="AE139" s="927"/>
    </row>
    <row s="32338" customFormat="1" customHeight="1" ht="11.25">
      <c r="A140" s="1349"/>
      <c r="B140" s="2002"/>
      <c r="C140" s="2002"/>
      <c r="D140" s="712"/>
      <c r="K140" s="1523"/>
      <c r="L140" s="2002"/>
      <c r="M140" s="2002"/>
      <c r="N140" s="1523"/>
      <c r="O140" s="1523"/>
      <c r="P140" s="1523"/>
      <c r="Q140" s="1523"/>
      <c r="R140" s="2002"/>
      <c r="S140" s="1523"/>
      <c r="T140" s="1523"/>
      <c r="U140" s="905"/>
      <c r="V140" s="1523"/>
      <c r="W140" s="1523"/>
      <c r="X140" s="1523"/>
      <c r="Y140" s="1523"/>
      <c r="Z140" s="1523"/>
      <c r="AA140" s="1998"/>
      <c r="AB140" s="927"/>
      <c r="AC140" s="927"/>
      <c r="AD140" s="927"/>
      <c r="AE140" s="927"/>
    </row>
    <row s="32338" customFormat="1" customHeight="1" ht="11.25">
      <c r="A141" s="1349"/>
      <c r="B141" s="2002"/>
      <c r="C141" s="2002"/>
      <c r="D141" s="712"/>
      <c r="K141" s="1523"/>
      <c r="L141" s="2002"/>
      <c r="M141" s="2002"/>
      <c r="N141" s="1523"/>
      <c r="O141" s="1523"/>
      <c r="P141" s="1523"/>
      <c r="Q141" s="1523"/>
      <c r="R141" s="2002"/>
      <c r="S141" s="1523"/>
      <c r="T141" s="1523"/>
      <c r="U141" s="905"/>
      <c r="V141" s="1523"/>
      <c r="W141" s="1523"/>
      <c r="X141" s="1523"/>
      <c r="Y141" s="1523"/>
      <c r="Z141" s="1523"/>
      <c r="AA141" s="1998"/>
      <c r="AB141" s="927"/>
      <c r="AC141" s="927"/>
      <c r="AD141" s="927"/>
      <c r="AE141" s="927"/>
    </row>
    <row s="32338" customFormat="1" customHeight="1" ht="11.25">
      <c r="A142" s="1349"/>
      <c r="B142" s="2002"/>
      <c r="C142" s="2002"/>
      <c r="D142" s="712"/>
      <c r="K142" s="1523"/>
      <c r="L142" s="2002"/>
      <c r="M142" s="2002"/>
      <c r="N142" s="1523"/>
      <c r="O142" s="1523"/>
      <c r="P142" s="1523"/>
      <c r="Q142" s="1523"/>
      <c r="R142" s="2002"/>
      <c r="S142" s="1523"/>
      <c r="T142" s="1523"/>
      <c r="U142" s="905"/>
      <c r="V142" s="1523"/>
      <c r="W142" s="1523"/>
      <c r="X142" s="1523"/>
      <c r="Y142" s="1523"/>
      <c r="Z142" s="1523"/>
      <c r="AA142" s="1998"/>
      <c r="AB142" s="927"/>
      <c r="AC142" s="927"/>
      <c r="AD142" s="927"/>
      <c r="AE142" s="927"/>
    </row>
    <row s="32338" customFormat="1" customHeight="1" ht="11.25">
      <c r="A143" s="1349"/>
      <c r="B143" s="2002"/>
      <c r="C143" s="2002"/>
      <c r="D143" s="712"/>
      <c r="K143" s="1523"/>
      <c r="L143" s="2002"/>
      <c r="M143" s="2002"/>
      <c r="N143" s="1523"/>
      <c r="O143" s="1523"/>
      <c r="P143" s="1523"/>
      <c r="Q143" s="1523"/>
      <c r="R143" s="2002"/>
      <c r="S143" s="1523"/>
      <c r="T143" s="1523"/>
      <c r="U143" s="905"/>
      <c r="V143" s="1523"/>
      <c r="W143" s="1523"/>
      <c r="X143" s="1523"/>
      <c r="Y143" s="1523"/>
      <c r="Z143" s="1523"/>
      <c r="AA143" s="1998"/>
      <c r="AB143" s="927"/>
      <c r="AC143" s="927"/>
      <c r="AD143" s="927"/>
      <c r="AE143" s="927"/>
    </row>
    <row s="32338" customFormat="1" customHeight="1" ht="11.25">
      <c r="A144" s="1349"/>
      <c r="B144" s="2002"/>
      <c r="C144" s="2002"/>
      <c r="D144" s="712"/>
      <c r="K144" s="1523"/>
      <c r="L144" s="2002"/>
      <c r="M144" s="2002"/>
      <c r="N144" s="1523"/>
      <c r="O144" s="1523"/>
      <c r="P144" s="1523"/>
      <c r="Q144" s="1523"/>
      <c r="R144" s="2002"/>
      <c r="S144" s="1523"/>
      <c r="T144" s="1523"/>
      <c r="U144" s="905"/>
      <c r="V144" s="1523"/>
      <c r="W144" s="1523"/>
      <c r="X144" s="1523"/>
      <c r="Y144" s="1523"/>
      <c r="Z144" s="1523"/>
      <c r="AA144" s="1998"/>
      <c r="AB144" s="927"/>
      <c r="AC144" s="927"/>
      <c r="AD144" s="927"/>
      <c r="AE144" s="927"/>
    </row>
    <row s="32338" customFormat="1" customHeight="1" ht="11.25">
      <c r="A145" s="1349"/>
      <c r="B145" s="2002"/>
      <c r="C145" s="2002"/>
      <c r="D145" s="712"/>
      <c r="K145" s="1523"/>
      <c r="L145" s="2002"/>
      <c r="M145" s="2002"/>
      <c r="N145" s="1523"/>
      <c r="O145" s="1523"/>
      <c r="P145" s="1523"/>
      <c r="Q145" s="1523"/>
      <c r="R145" s="2002"/>
      <c r="S145" s="1523"/>
      <c r="T145" s="1523"/>
      <c r="U145" s="905"/>
      <c r="V145" s="1523"/>
      <c r="W145" s="1523"/>
      <c r="X145" s="1523"/>
      <c r="Y145" s="1523"/>
      <c r="Z145" s="1523"/>
      <c r="AA145" s="1998"/>
      <c r="AB145" s="927"/>
      <c r="AC145" s="927"/>
      <c r="AD145" s="927"/>
      <c r="AE145" s="927"/>
    </row>
    <row s="32338" customFormat="1" customHeight="1" ht="11.25">
      <c r="A146" s="1349"/>
      <c r="B146" s="2002"/>
      <c r="C146" s="2002"/>
      <c r="D146" s="712"/>
      <c r="K146" s="1523"/>
      <c r="L146" s="2002"/>
      <c r="M146" s="2002"/>
      <c r="N146" s="1523"/>
      <c r="O146" s="1523"/>
      <c r="P146" s="1523"/>
      <c r="Q146" s="1523"/>
      <c r="R146" s="2002"/>
      <c r="S146" s="1523"/>
      <c r="T146" s="1523"/>
      <c r="U146" s="905"/>
      <c r="V146" s="1523"/>
      <c r="W146" s="1523"/>
      <c r="X146" s="1523"/>
      <c r="Y146" s="1523"/>
      <c r="Z146" s="1523"/>
      <c r="AA146" s="1998"/>
      <c r="AB146" s="927"/>
      <c r="AC146" s="927"/>
      <c r="AD146" s="927"/>
      <c r="AE146" s="927"/>
    </row>
    <row s="32338" customFormat="1" customHeight="1" ht="11.25">
      <c r="A147" s="1349"/>
      <c r="B147" s="2002"/>
      <c r="C147" s="2002"/>
      <c r="D147" s="712"/>
      <c r="K147" s="1523"/>
      <c r="L147" s="2002"/>
      <c r="M147" s="2002"/>
      <c r="N147" s="1523"/>
      <c r="O147" s="1523"/>
      <c r="P147" s="1523"/>
      <c r="Q147" s="1523"/>
      <c r="R147" s="2002"/>
      <c r="S147" s="1523"/>
      <c r="T147" s="1523"/>
      <c r="U147" s="905"/>
      <c r="V147" s="1523"/>
      <c r="W147" s="1523"/>
      <c r="X147" s="1523"/>
      <c r="Y147" s="1523"/>
      <c r="Z147" s="1523"/>
      <c r="AA147" s="1998"/>
      <c r="AB147" s="927"/>
      <c r="AC147" s="927"/>
      <c r="AD147" s="927"/>
      <c r="AE147" s="927"/>
    </row>
    <row s="32338" customFormat="1" customHeight="1" ht="11.25">
      <c r="A148" s="1349"/>
      <c r="B148" s="2002"/>
      <c r="C148" s="2002"/>
      <c r="D148" s="712"/>
      <c r="K148" s="1523"/>
      <c r="L148" s="2002"/>
      <c r="M148" s="2002"/>
      <c r="N148" s="1523"/>
      <c r="O148" s="1523"/>
      <c r="P148" s="1523"/>
      <c r="Q148" s="1523"/>
      <c r="R148" s="2002"/>
      <c r="S148" s="1523"/>
      <c r="T148" s="1523"/>
      <c r="U148" s="905"/>
      <c r="V148" s="1523"/>
      <c r="W148" s="1523"/>
      <c r="X148" s="1523"/>
      <c r="Y148" s="1523"/>
      <c r="Z148" s="1523"/>
      <c r="AA148" s="1998"/>
      <c r="AB148" s="927"/>
      <c r="AC148" s="927"/>
      <c r="AD148" s="927"/>
      <c r="AE148" s="927"/>
    </row>
    <row s="32338" customFormat="1" customHeight="1" ht="11.25">
      <c r="A149" s="1349"/>
      <c r="B149" s="2002"/>
      <c r="C149" s="2002"/>
      <c r="D149" s="712"/>
      <c r="K149" s="1523"/>
      <c r="L149" s="2002"/>
      <c r="M149" s="2002"/>
      <c r="N149" s="1523"/>
      <c r="O149" s="1523"/>
      <c r="P149" s="1523"/>
      <c r="Q149" s="1523"/>
      <c r="R149" s="2002"/>
      <c r="S149" s="1523"/>
      <c r="T149" s="1523"/>
      <c r="U149" s="905"/>
      <c r="V149" s="1523"/>
      <c r="W149" s="1523"/>
      <c r="X149" s="1523"/>
      <c r="Y149" s="1523"/>
      <c r="Z149" s="1523"/>
      <c r="AA149" s="1998"/>
      <c r="AB149" s="927"/>
      <c r="AC149" s="927"/>
      <c r="AD149" s="927"/>
      <c r="AE149" s="927"/>
    </row>
    <row s="32338" customFormat="1" customHeight="1" ht="11.25">
      <c r="A150" s="1349"/>
      <c r="B150" s="2002"/>
      <c r="C150" s="2002"/>
      <c r="D150" s="712"/>
      <c r="K150" s="1523"/>
      <c r="L150" s="2002"/>
      <c r="M150" s="2002"/>
      <c r="N150" s="1523"/>
      <c r="O150" s="1523"/>
      <c r="P150" s="1523"/>
      <c r="Q150" s="1523"/>
      <c r="R150" s="2002"/>
      <c r="S150" s="1523"/>
      <c r="T150" s="1523"/>
      <c r="U150" s="905"/>
      <c r="V150" s="1523"/>
      <c r="W150" s="1523"/>
      <c r="X150" s="1523"/>
      <c r="Y150" s="1523"/>
      <c r="Z150" s="1523"/>
      <c r="AA150" s="1998"/>
      <c r="AB150" s="927"/>
      <c r="AC150" s="927"/>
      <c r="AD150" s="927"/>
      <c r="AE150" s="927"/>
    </row>
    <row s="32338" customFormat="1" customHeight="1" ht="11.25">
      <c r="A151" s="1349"/>
      <c r="B151" s="2002"/>
      <c r="C151" s="2002"/>
      <c r="D151" s="712"/>
      <c r="K151" s="1523"/>
      <c r="L151" s="2002"/>
      <c r="M151" s="2002"/>
      <c r="N151" s="1523"/>
      <c r="O151" s="1523"/>
      <c r="P151" s="1523"/>
      <c r="Q151" s="1523"/>
      <c r="R151" s="2002"/>
      <c r="S151" s="1523"/>
      <c r="T151" s="1523"/>
      <c r="U151" s="905"/>
      <c r="V151" s="1523"/>
      <c r="W151" s="1523"/>
      <c r="X151" s="1523"/>
      <c r="Y151" s="1523"/>
      <c r="Z151" s="1523"/>
      <c r="AA151" s="1998"/>
      <c r="AB151" s="927"/>
      <c r="AC151" s="927"/>
      <c r="AD151" s="927"/>
      <c r="AE151" s="927"/>
    </row>
    <row s="32338" customFormat="1" customHeight="1" ht="11.25">
      <c r="A152" s="1349"/>
      <c r="B152" s="2002"/>
      <c r="C152" s="2002"/>
      <c r="D152" s="712"/>
      <c r="K152" s="1523"/>
      <c r="L152" s="2002"/>
      <c r="M152" s="2002"/>
      <c r="N152" s="1523"/>
      <c r="O152" s="1523"/>
      <c r="P152" s="1523"/>
      <c r="Q152" s="1523"/>
      <c r="R152" s="2002"/>
      <c r="S152" s="1523"/>
      <c r="T152" s="1523"/>
      <c r="U152" s="905"/>
      <c r="V152" s="1523"/>
      <c r="W152" s="1523"/>
      <c r="X152" s="1523"/>
      <c r="Y152" s="1523"/>
      <c r="Z152" s="1523"/>
      <c r="AA152" s="1998"/>
      <c r="AB152" s="927"/>
      <c r="AC152" s="927"/>
      <c r="AD152" s="927"/>
      <c r="AE152" s="927"/>
    </row>
    <row s="32338" customFormat="1" customHeight="1" ht="11.25">
      <c r="A153" s="1349"/>
      <c r="B153" s="2002"/>
      <c r="C153" s="2002"/>
      <c r="D153" s="712"/>
      <c r="K153" s="1523"/>
      <c r="L153" s="2002"/>
      <c r="M153" s="2002"/>
      <c r="N153" s="1523"/>
      <c r="O153" s="1523"/>
      <c r="P153" s="1523"/>
      <c r="Q153" s="1523"/>
      <c r="R153" s="2002"/>
      <c r="S153" s="1523"/>
      <c r="T153" s="1523"/>
      <c r="U153" s="905"/>
      <c r="V153" s="1523"/>
      <c r="W153" s="1523"/>
      <c r="X153" s="1523"/>
      <c r="Y153" s="1523"/>
      <c r="Z153" s="1523"/>
      <c r="AA153" s="1998"/>
      <c r="AB153" s="927"/>
      <c r="AC153" s="927"/>
      <c r="AD153" s="927"/>
      <c r="AE153" s="927"/>
    </row>
    <row s="32338" customFormat="1" customHeight="1" ht="11.25">
      <c r="A154" s="1349"/>
      <c r="B154" s="2002"/>
      <c r="C154" s="2002"/>
      <c r="D154" s="712"/>
      <c r="K154" s="1523"/>
      <c r="L154" s="2002"/>
      <c r="M154" s="2002"/>
      <c r="N154" s="1523"/>
      <c r="O154" s="1523"/>
      <c r="P154" s="1523"/>
      <c r="Q154" s="1523"/>
      <c r="R154" s="2002"/>
      <c r="S154" s="1523"/>
      <c r="T154" s="1523"/>
      <c r="U154" s="905"/>
      <c r="V154" s="1523"/>
      <c r="W154" s="1523"/>
      <c r="X154" s="1523"/>
      <c r="Y154" s="1523"/>
      <c r="Z154" s="1523"/>
      <c r="AA154" s="1998"/>
      <c r="AB154" s="927"/>
      <c r="AC154" s="927"/>
      <c r="AD154" s="927"/>
      <c r="AE154" s="927"/>
    </row>
    <row s="32338" customFormat="1" customHeight="1" ht="11.25">
      <c r="A155" s="1349"/>
      <c r="B155" s="2002"/>
      <c r="C155" s="2002"/>
      <c r="D155" s="712"/>
      <c r="K155" s="1523"/>
      <c r="L155" s="2002"/>
      <c r="M155" s="2002"/>
      <c r="N155" s="1523"/>
      <c r="O155" s="1523"/>
      <c r="P155" s="1523"/>
      <c r="Q155" s="1523"/>
      <c r="R155" s="2002"/>
      <c r="S155" s="1523"/>
      <c r="T155" s="1523"/>
      <c r="U155" s="905"/>
      <c r="V155" s="1523"/>
      <c r="W155" s="1523"/>
      <c r="X155" s="1523"/>
      <c r="Y155" s="1523"/>
      <c r="Z155" s="1523"/>
      <c r="AA155" s="1998"/>
      <c r="AB155" s="927"/>
      <c r="AC155" s="927"/>
      <c r="AD155" s="927"/>
      <c r="AE155" s="927"/>
    </row>
    <row s="32338" customFormat="1" customHeight="1" ht="11.25">
      <c r="A156" s="1349"/>
      <c r="B156" s="2002"/>
      <c r="C156" s="2002"/>
      <c r="D156" s="712"/>
      <c r="K156" s="1523"/>
      <c r="L156" s="2002"/>
      <c r="M156" s="2002"/>
      <c r="N156" s="1523"/>
      <c r="O156" s="1523"/>
      <c r="P156" s="1523"/>
      <c r="Q156" s="1523"/>
      <c r="R156" s="2002"/>
      <c r="S156" s="1523"/>
      <c r="T156" s="1523"/>
      <c r="U156" s="905"/>
      <c r="V156" s="1523"/>
      <c r="W156" s="1523"/>
      <c r="X156" s="1523"/>
      <c r="Y156" s="1523"/>
      <c r="Z156" s="1523"/>
      <c r="AA156" s="1998"/>
      <c r="AB156" s="927"/>
      <c r="AC156" s="927"/>
      <c r="AD156" s="927"/>
      <c r="AE156" s="927"/>
    </row>
    <row s="32338" customFormat="1" customHeight="1" ht="11.25">
      <c r="A157" s="1349"/>
      <c r="B157" s="2002"/>
      <c r="C157" s="2002"/>
      <c r="D157" s="712"/>
      <c r="K157" s="1523"/>
      <c r="L157" s="2002"/>
      <c r="M157" s="2002"/>
      <c r="N157" s="1523"/>
      <c r="O157" s="1523"/>
      <c r="P157" s="1523"/>
      <c r="Q157" s="1523"/>
      <c r="R157" s="2002"/>
      <c r="S157" s="1523"/>
      <c r="T157" s="1523"/>
      <c r="U157" s="905"/>
      <c r="V157" s="1523"/>
      <c r="W157" s="1523"/>
      <c r="X157" s="1523"/>
      <c r="Y157" s="1523"/>
      <c r="Z157" s="1523"/>
      <c r="AA157" s="1998"/>
      <c r="AB157" s="927"/>
      <c r="AC157" s="927"/>
      <c r="AD157" s="927"/>
      <c r="AE157" s="927"/>
    </row>
    <row s="32338" customFormat="1" customHeight="1" ht="11.25">
      <c r="A158" s="1349"/>
      <c r="B158" s="2002"/>
      <c r="C158" s="2002"/>
      <c r="D158" s="712"/>
      <c r="K158" s="1523"/>
      <c r="L158" s="2002"/>
      <c r="M158" s="2002"/>
      <c r="N158" s="1523"/>
      <c r="O158" s="1523"/>
      <c r="P158" s="1523"/>
      <c r="Q158" s="1523"/>
      <c r="R158" s="2002"/>
      <c r="S158" s="1523"/>
      <c r="T158" s="1523"/>
      <c r="U158" s="905"/>
      <c r="V158" s="1523"/>
      <c r="W158" s="1523"/>
      <c r="X158" s="1523"/>
      <c r="Y158" s="1523"/>
      <c r="Z158" s="1523"/>
      <c r="AA158" s="1998"/>
      <c r="AB158" s="927"/>
      <c r="AC158" s="927"/>
      <c r="AD158" s="927"/>
      <c r="AE158" s="927"/>
    </row>
    <row s="32338" customFormat="1" customHeight="1" ht="11.25">
      <c r="A159" s="1349"/>
      <c r="B159" s="2002"/>
      <c r="C159" s="2002"/>
      <c r="D159" s="712"/>
      <c r="K159" s="1523"/>
      <c r="L159" s="2002"/>
      <c r="M159" s="2002"/>
      <c r="N159" s="1523"/>
      <c r="O159" s="1523"/>
      <c r="P159" s="1523"/>
      <c r="Q159" s="1523"/>
      <c r="R159" s="2002"/>
      <c r="S159" s="1523"/>
      <c r="T159" s="1523"/>
      <c r="U159" s="905"/>
      <c r="V159" s="1523"/>
      <c r="W159" s="1523"/>
      <c r="X159" s="1523"/>
      <c r="Y159" s="1523"/>
      <c r="Z159" s="1523"/>
      <c r="AA159" s="1998"/>
      <c r="AB159" s="927"/>
      <c r="AC159" s="927"/>
      <c r="AD159" s="927"/>
      <c r="AE159" s="927"/>
    </row>
    <row s="32338" customFormat="1" customHeight="1" ht="11.25">
      <c r="A160" s="1349"/>
      <c r="B160" s="2002"/>
      <c r="C160" s="2002"/>
      <c r="D160" s="712"/>
      <c r="K160" s="1523"/>
      <c r="L160" s="2002"/>
      <c r="M160" s="2002"/>
      <c r="N160" s="1523"/>
      <c r="O160" s="1523"/>
      <c r="P160" s="1523"/>
      <c r="Q160" s="1523"/>
      <c r="R160" s="2002"/>
      <c r="S160" s="1523"/>
      <c r="T160" s="1523"/>
      <c r="U160" s="905"/>
      <c r="V160" s="1523"/>
      <c r="W160" s="1523"/>
      <c r="X160" s="1523"/>
      <c r="Y160" s="1523"/>
      <c r="Z160" s="1523"/>
      <c r="AA160" s="1998"/>
      <c r="AB160" s="927"/>
      <c r="AC160" s="927"/>
      <c r="AD160" s="927"/>
      <c r="AE160" s="927"/>
    </row>
    <row s="32338" customFormat="1" customHeight="1" ht="11.25">
      <c r="A161" s="1349"/>
      <c r="B161" s="2002"/>
      <c r="C161" s="2002"/>
      <c r="D161" s="712"/>
      <c r="K161" s="1523"/>
      <c r="L161" s="2002"/>
      <c r="M161" s="2002"/>
      <c r="N161" s="1523"/>
      <c r="O161" s="1523"/>
      <c r="P161" s="1523"/>
      <c r="Q161" s="1523"/>
      <c r="R161" s="2002"/>
      <c r="S161" s="1523"/>
      <c r="T161" s="1523"/>
      <c r="U161" s="905"/>
      <c r="V161" s="1523"/>
      <c r="W161" s="1523"/>
      <c r="X161" s="1523"/>
      <c r="Y161" s="1523"/>
      <c r="Z161" s="1523"/>
      <c r="AA161" s="1998"/>
      <c r="AB161" s="927"/>
      <c r="AC161" s="927"/>
      <c r="AD161" s="927"/>
      <c r="AE161" s="927"/>
    </row>
    <row s="32338" customFormat="1" customHeight="1" ht="11.25">
      <c r="A162" s="1349"/>
      <c r="B162" s="2002"/>
      <c r="C162" s="2002"/>
      <c r="D162" s="712"/>
      <c r="K162" s="1523"/>
      <c r="L162" s="2002"/>
      <c r="M162" s="2002"/>
      <c r="N162" s="1523"/>
      <c r="O162" s="1523"/>
      <c r="P162" s="1523"/>
      <c r="Q162" s="1523"/>
      <c r="R162" s="2002"/>
      <c r="S162" s="1523"/>
      <c r="T162" s="1523"/>
      <c r="U162" s="905"/>
      <c r="V162" s="1523"/>
      <c r="W162" s="1523"/>
      <c r="X162" s="1523"/>
      <c r="Y162" s="1523"/>
      <c r="Z162" s="1523"/>
      <c r="AA162" s="1998"/>
      <c r="AB162" s="927"/>
      <c r="AC162" s="927"/>
      <c r="AD162" s="927"/>
      <c r="AE162" s="927"/>
    </row>
    <row s="32338" customFormat="1" customHeight="1" ht="11.25">
      <c r="A163" s="1349"/>
      <c r="B163" s="2002"/>
      <c r="C163" s="2002"/>
      <c r="D163" s="712"/>
      <c r="K163" s="1523"/>
      <c r="L163" s="2002"/>
      <c r="M163" s="2002"/>
      <c r="N163" s="1523"/>
      <c r="O163" s="1523"/>
      <c r="P163" s="1523"/>
      <c r="Q163" s="1523"/>
      <c r="R163" s="2002"/>
      <c r="S163" s="1523"/>
      <c r="T163" s="1523"/>
      <c r="U163" s="905"/>
      <c r="V163" s="1523"/>
      <c r="W163" s="1523"/>
      <c r="X163" s="1523"/>
      <c r="Y163" s="1523"/>
      <c r="Z163" s="1523"/>
      <c r="AA163" s="1998"/>
      <c r="AB163" s="927"/>
      <c r="AC163" s="927"/>
      <c r="AD163" s="927"/>
      <c r="AE163" s="927"/>
    </row>
    <row s="32338" customFormat="1" customHeight="1" ht="11.25">
      <c r="A164" s="1349"/>
      <c r="B164" s="2002"/>
      <c r="C164" s="2002"/>
      <c r="D164" s="712"/>
      <c r="K164" s="1523"/>
      <c r="L164" s="2002"/>
      <c r="M164" s="2002"/>
      <c r="N164" s="1523"/>
      <c r="O164" s="1523"/>
      <c r="P164" s="1523"/>
      <c r="Q164" s="1523"/>
      <c r="R164" s="2002"/>
      <c r="S164" s="1523"/>
      <c r="T164" s="1523"/>
      <c r="U164" s="905"/>
      <c r="V164" s="1523"/>
      <c r="W164" s="1523"/>
      <c r="X164" s="1523"/>
      <c r="Y164" s="1523"/>
      <c r="Z164" s="1523"/>
      <c r="AA164" s="1998"/>
      <c r="AB164" s="927"/>
      <c r="AC164" s="927"/>
      <c r="AD164" s="927"/>
      <c r="AE164" s="927"/>
    </row>
    <row s="32338" customFormat="1" customHeight="1" ht="11.25">
      <c r="A165" s="1349"/>
      <c r="B165" s="2002"/>
      <c r="C165" s="2002"/>
      <c r="D165" s="712"/>
      <c r="K165" s="1523"/>
      <c r="L165" s="2002"/>
      <c r="M165" s="2002"/>
      <c r="N165" s="1523"/>
      <c r="O165" s="1523"/>
      <c r="P165" s="1523"/>
      <c r="Q165" s="1523"/>
      <c r="R165" s="2002"/>
      <c r="S165" s="1523"/>
      <c r="T165" s="1523"/>
      <c r="U165" s="905"/>
      <c r="V165" s="1523"/>
      <c r="W165" s="1523"/>
      <c r="X165" s="1523"/>
      <c r="Y165" s="1523"/>
      <c r="Z165" s="1523"/>
      <c r="AA165" s="1998"/>
      <c r="AB165" s="927"/>
      <c r="AC165" s="927"/>
      <c r="AD165" s="927"/>
      <c r="AE165" s="927"/>
    </row>
    <row s="32338" customFormat="1" customHeight="1" ht="11.25">
      <c r="A166" s="1349"/>
      <c r="B166" s="2002"/>
      <c r="C166" s="2002"/>
      <c r="D166" s="712"/>
      <c r="K166" s="1523"/>
      <c r="L166" s="2002"/>
      <c r="M166" s="2002"/>
      <c r="N166" s="1523"/>
      <c r="O166" s="1523"/>
      <c r="P166" s="1523"/>
      <c r="Q166" s="1523"/>
      <c r="R166" s="2002"/>
      <c r="S166" s="1523"/>
      <c r="T166" s="1523"/>
      <c r="U166" s="905"/>
      <c r="V166" s="1523"/>
      <c r="W166" s="1523"/>
      <c r="X166" s="1523"/>
      <c r="Y166" s="1523"/>
      <c r="Z166" s="1523"/>
      <c r="AA166" s="1998"/>
      <c r="AB166" s="927"/>
      <c r="AC166" s="927"/>
      <c r="AD166" s="927"/>
      <c r="AE166" s="927"/>
    </row>
    <row s="32338" customFormat="1" customHeight="1" ht="11.25">
      <c r="A167" s="1349"/>
      <c r="B167" s="2002"/>
      <c r="C167" s="2002"/>
      <c r="D167" s="712"/>
      <c r="K167" s="1523"/>
      <c r="L167" s="2002"/>
      <c r="M167" s="2002"/>
      <c r="N167" s="1523"/>
      <c r="O167" s="1523"/>
      <c r="P167" s="1523"/>
      <c r="Q167" s="1523"/>
      <c r="R167" s="2002"/>
      <c r="S167" s="1523"/>
      <c r="T167" s="1523"/>
      <c r="U167" s="905"/>
      <c r="V167" s="1523"/>
      <c r="W167" s="1523"/>
      <c r="X167" s="1523"/>
      <c r="Y167" s="1523"/>
      <c r="Z167" s="1523"/>
      <c r="AA167" s="1998"/>
      <c r="AB167" s="927"/>
      <c r="AC167" s="927"/>
      <c r="AD167" s="927"/>
      <c r="AE167" s="927"/>
    </row>
    <row s="32338" customFormat="1" customHeight="1" ht="11.25">
      <c r="A168" s="1349"/>
      <c r="B168" s="2002"/>
      <c r="C168" s="2002"/>
      <c r="D168" s="712"/>
      <c r="K168" s="1523"/>
      <c r="L168" s="2002"/>
      <c r="M168" s="2002"/>
      <c r="N168" s="1523"/>
      <c r="O168" s="1523"/>
      <c r="P168" s="1523"/>
      <c r="Q168" s="1523"/>
      <c r="R168" s="2002"/>
      <c r="S168" s="1523"/>
      <c r="T168" s="1523"/>
      <c r="U168" s="905"/>
      <c r="V168" s="1523"/>
      <c r="W168" s="1523"/>
      <c r="X168" s="1523"/>
      <c r="Y168" s="1523"/>
      <c r="Z168" s="1523"/>
      <c r="AA168" s="1998"/>
      <c r="AB168" s="927"/>
      <c r="AC168" s="927"/>
      <c r="AD168" s="927"/>
      <c r="AE168" s="927"/>
    </row>
    <row s="32338" customFormat="1" customHeight="1" ht="11.25">
      <c r="A169" s="1349"/>
      <c r="B169" s="2002"/>
      <c r="C169" s="2002"/>
      <c r="D169" s="712"/>
      <c r="K169" s="1523"/>
      <c r="L169" s="2002"/>
      <c r="M169" s="2002"/>
      <c r="N169" s="1523"/>
      <c r="O169" s="1523"/>
      <c r="P169" s="1523"/>
      <c r="Q169" s="1523"/>
      <c r="R169" s="2002"/>
      <c r="S169" s="1523"/>
      <c r="T169" s="1523"/>
      <c r="U169" s="905"/>
      <c r="V169" s="1523"/>
      <c r="W169" s="1523"/>
      <c r="X169" s="1523"/>
      <c r="Y169" s="1523"/>
      <c r="Z169" s="1523"/>
      <c r="AA169" s="1998"/>
      <c r="AB169" s="927"/>
      <c r="AC169" s="927"/>
      <c r="AD169" s="927"/>
      <c r="AE169" s="927"/>
    </row>
    <row s="32338" customFormat="1" customHeight="1" ht="11.25">
      <c r="A170" s="1349"/>
      <c r="B170" s="2002"/>
      <c r="C170" s="2002"/>
      <c r="D170" s="712"/>
      <c r="K170" s="1523"/>
      <c r="L170" s="2002"/>
      <c r="M170" s="2002"/>
      <c r="N170" s="1523"/>
      <c r="O170" s="1523"/>
      <c r="P170" s="1523"/>
      <c r="Q170" s="1523"/>
      <c r="R170" s="2002"/>
      <c r="S170" s="1523"/>
      <c r="T170" s="1523"/>
      <c r="U170" s="905"/>
      <c r="V170" s="1523"/>
      <c r="W170" s="1523"/>
      <c r="X170" s="1523"/>
      <c r="Y170" s="1523"/>
      <c r="Z170" s="1523"/>
      <c r="AA170" s="1998"/>
      <c r="AB170" s="927"/>
      <c r="AC170" s="927"/>
      <c r="AD170" s="927"/>
      <c r="AE170" s="927"/>
    </row>
    <row s="32338" customFormat="1" customHeight="1" ht="11.25">
      <c r="A171" s="1349"/>
      <c r="B171" s="2002"/>
      <c r="C171" s="2002"/>
      <c r="D171" s="712"/>
      <c r="K171" s="1523"/>
      <c r="L171" s="2002"/>
      <c r="M171" s="2002"/>
      <c r="N171" s="1523"/>
      <c r="O171" s="1523"/>
      <c r="P171" s="1523"/>
      <c r="Q171" s="1523"/>
      <c r="R171" s="2002"/>
      <c r="S171" s="1523"/>
      <c r="T171" s="1523"/>
      <c r="U171" s="905"/>
      <c r="V171" s="1523"/>
      <c r="W171" s="1523"/>
      <c r="X171" s="1523"/>
      <c r="Y171" s="1523"/>
      <c r="Z171" s="1523"/>
      <c r="AA171" s="1998"/>
      <c r="AB171" s="927"/>
      <c r="AC171" s="927"/>
      <c r="AD171" s="927"/>
      <c r="AE171" s="927"/>
    </row>
    <row s="32338" customFormat="1" customHeight="1" ht="11.25">
      <c r="A172" s="1349"/>
      <c r="B172" s="2002"/>
      <c r="C172" s="2002"/>
      <c r="D172" s="712"/>
      <c r="K172" s="1523"/>
      <c r="L172" s="2002"/>
      <c r="M172" s="2002"/>
      <c r="N172" s="1523"/>
      <c r="O172" s="1523"/>
      <c r="P172" s="1523"/>
      <c r="Q172" s="1523"/>
      <c r="R172" s="2002"/>
      <c r="S172" s="1523"/>
      <c r="T172" s="1523"/>
      <c r="U172" s="905"/>
      <c r="V172" s="1523"/>
      <c r="W172" s="1523"/>
      <c r="X172" s="1523"/>
      <c r="Y172" s="1523"/>
      <c r="Z172" s="1523"/>
      <c r="AA172" s="1998"/>
      <c r="AB172" s="927"/>
      <c r="AC172" s="927"/>
      <c r="AD172" s="927"/>
      <c r="AE172" s="927"/>
    </row>
    <row s="32338" customFormat="1" customHeight="1" ht="11.25">
      <c r="A173" s="1349"/>
      <c r="B173" s="2002"/>
      <c r="C173" s="2002"/>
      <c r="D173" s="712"/>
      <c r="K173" s="1523"/>
      <c r="L173" s="2002"/>
      <c r="M173" s="2002"/>
      <c r="N173" s="1523"/>
      <c r="O173" s="1523"/>
      <c r="P173" s="1523"/>
      <c r="Q173" s="1523"/>
      <c r="R173" s="2002"/>
      <c r="S173" s="1523"/>
      <c r="T173" s="1523"/>
      <c r="U173" s="905"/>
      <c r="V173" s="1523"/>
      <c r="W173" s="1523"/>
      <c r="X173" s="1523"/>
      <c r="Y173" s="1523"/>
      <c r="Z173" s="1523"/>
      <c r="AA173" s="1998"/>
      <c r="AB173" s="927"/>
      <c r="AC173" s="927"/>
      <c r="AD173" s="927"/>
      <c r="AE173" s="927"/>
    </row>
    <row s="32338" customFormat="1" customHeight="1" ht="11.25">
      <c r="A174" s="1349"/>
      <c r="B174" s="2002"/>
      <c r="C174" s="2002"/>
      <c r="D174" s="712"/>
      <c r="K174" s="1523"/>
      <c r="L174" s="2002"/>
      <c r="M174" s="2002"/>
      <c r="N174" s="1523"/>
      <c r="O174" s="1523"/>
      <c r="P174" s="1523"/>
      <c r="Q174" s="1523"/>
      <c r="R174" s="2002"/>
      <c r="S174" s="1523"/>
      <c r="T174" s="1523"/>
      <c r="U174" s="905"/>
      <c r="V174" s="1523"/>
      <c r="W174" s="1523"/>
      <c r="X174" s="1523"/>
      <c r="Y174" s="1523"/>
      <c r="Z174" s="1523"/>
      <c r="AA174" s="1998"/>
      <c r="AB174" s="927"/>
      <c r="AC174" s="927"/>
      <c r="AD174" s="927"/>
      <c r="AE174" s="927"/>
    </row>
    <row s="32338" customFormat="1" customHeight="1" ht="11.25">
      <c r="A175" s="1349"/>
      <c r="B175" s="2002"/>
      <c r="C175" s="2002"/>
      <c r="D175" s="712"/>
      <c r="K175" s="1523"/>
      <c r="L175" s="2002"/>
      <c r="M175" s="2002"/>
      <c r="N175" s="1523"/>
      <c r="O175" s="1523"/>
      <c r="P175" s="1523"/>
      <c r="Q175" s="1523"/>
      <c r="R175" s="2002"/>
      <c r="S175" s="1523"/>
      <c r="T175" s="1523"/>
      <c r="U175" s="905"/>
      <c r="V175" s="1523"/>
      <c r="W175" s="1523"/>
      <c r="X175" s="1523"/>
      <c r="Y175" s="1523"/>
      <c r="Z175" s="1523"/>
      <c r="AA175" s="1998"/>
      <c r="AB175" s="927"/>
      <c r="AC175" s="927"/>
      <c r="AD175" s="927"/>
      <c r="AE175" s="927"/>
    </row>
    <row s="32338" customFormat="1" customHeight="1" ht="11.25">
      <c r="A176" s="1349"/>
      <c r="B176" s="2002"/>
      <c r="C176" s="2002"/>
      <c r="D176" s="712"/>
      <c r="K176" s="1523"/>
      <c r="L176" s="2002"/>
      <c r="M176" s="2002"/>
      <c r="N176" s="1523"/>
      <c r="O176" s="1523"/>
      <c r="P176" s="1523"/>
      <c r="Q176" s="1523"/>
      <c r="R176" s="2002"/>
      <c r="S176" s="1523"/>
      <c r="T176" s="1523"/>
      <c r="U176" s="905"/>
      <c r="V176" s="1523"/>
      <c r="W176" s="1523"/>
      <c r="X176" s="1523"/>
      <c r="Y176" s="1523"/>
      <c r="Z176" s="1523"/>
      <c r="AA176" s="1998"/>
      <c r="AB176" s="927"/>
      <c r="AC176" s="927"/>
      <c r="AD176" s="927"/>
      <c r="AE176" s="927"/>
    </row>
    <row s="32338" customFormat="1" customHeight="1" ht="11.25">
      <c r="A177" s="1349"/>
      <c r="B177" s="2002"/>
      <c r="C177" s="2002"/>
      <c r="D177" s="712"/>
      <c r="K177" s="1523"/>
      <c r="L177" s="2002"/>
      <c r="M177" s="2002"/>
      <c r="N177" s="1523"/>
      <c r="O177" s="1523"/>
      <c r="P177" s="1523"/>
      <c r="Q177" s="1523"/>
      <c r="R177" s="2002"/>
      <c r="S177" s="1523"/>
      <c r="T177" s="1523"/>
      <c r="U177" s="905"/>
      <c r="V177" s="1523"/>
      <c r="W177" s="1523"/>
      <c r="X177" s="1523"/>
      <c r="Y177" s="1523"/>
      <c r="Z177" s="1523"/>
      <c r="AA177" s="1998"/>
      <c r="AB177" s="927"/>
      <c r="AC177" s="927"/>
      <c r="AD177" s="927"/>
      <c r="AE177" s="927"/>
    </row>
    <row s="32338" customFormat="1" customHeight="1" ht="11.25">
      <c r="A178" s="1349"/>
      <c r="B178" s="2002"/>
      <c r="C178" s="2002"/>
      <c r="D178" s="712"/>
      <c r="K178" s="1523"/>
      <c r="L178" s="2002"/>
      <c r="M178" s="2002"/>
      <c r="N178" s="1523"/>
      <c r="O178" s="1523"/>
      <c r="P178" s="1523"/>
      <c r="Q178" s="1523"/>
      <c r="R178" s="2002"/>
      <c r="S178" s="1523"/>
      <c r="T178" s="1523"/>
      <c r="U178" s="905"/>
      <c r="V178" s="1523"/>
      <c r="W178" s="1523"/>
      <c r="X178" s="1523"/>
      <c r="Y178" s="1523"/>
      <c r="Z178" s="1523"/>
      <c r="AA178" s="1998"/>
      <c r="AB178" s="927"/>
      <c r="AC178" s="927"/>
      <c r="AD178" s="927"/>
      <c r="AE178" s="927"/>
    </row>
    <row s="32338" customFormat="1" customHeight="1" ht="11.25">
      <c r="A179" s="1349"/>
      <c r="B179" s="2002"/>
      <c r="C179" s="2002"/>
      <c r="D179" s="712"/>
      <c r="K179" s="1523"/>
      <c r="L179" s="2002"/>
      <c r="M179" s="2002"/>
      <c r="N179" s="1523"/>
      <c r="O179" s="1523"/>
      <c r="P179" s="1523"/>
      <c r="Q179" s="1523"/>
      <c r="R179" s="2002"/>
      <c r="S179" s="1523"/>
      <c r="T179" s="1523"/>
      <c r="U179" s="905"/>
      <c r="V179" s="1523"/>
      <c r="W179" s="1523"/>
      <c r="X179" s="1523"/>
      <c r="Y179" s="1523"/>
      <c r="Z179" s="1523"/>
      <c r="AA179" s="1998"/>
      <c r="AB179" s="927"/>
      <c r="AC179" s="927"/>
      <c r="AD179" s="927"/>
      <c r="AE179" s="927"/>
    </row>
    <row s="32338" customFormat="1" customHeight="1" ht="11.25">
      <c r="A180" s="1349"/>
      <c r="B180" s="2002"/>
      <c r="C180" s="2002"/>
      <c r="D180" s="712"/>
      <c r="K180" s="1523"/>
      <c r="L180" s="2002"/>
      <c r="M180" s="2002"/>
      <c r="N180" s="1523"/>
      <c r="O180" s="1523"/>
      <c r="P180" s="1523"/>
      <c r="Q180" s="1523"/>
      <c r="R180" s="2002"/>
      <c r="S180" s="1523"/>
      <c r="T180" s="1523"/>
      <c r="U180" s="905"/>
      <c r="V180" s="1523"/>
      <c r="W180" s="1523"/>
      <c r="X180" s="1523"/>
      <c r="Y180" s="1523"/>
      <c r="Z180" s="1523"/>
      <c r="AA180" s="1998"/>
      <c r="AB180" s="927"/>
      <c r="AC180" s="927"/>
      <c r="AD180" s="927"/>
      <c r="AE180" s="927"/>
    </row>
    <row s="32338" customFormat="1" customHeight="1" ht="11.25">
      <c r="A181" s="1349"/>
      <c r="B181" s="2002"/>
      <c r="C181" s="2002"/>
      <c r="D181" s="712"/>
      <c r="K181" s="1523"/>
      <c r="L181" s="2002"/>
      <c r="M181" s="2002"/>
      <c r="N181" s="1523"/>
      <c r="O181" s="1523"/>
      <c r="P181" s="1523"/>
      <c r="Q181" s="1523"/>
      <c r="R181" s="2002"/>
      <c r="S181" s="1523"/>
      <c r="T181" s="1523"/>
      <c r="U181" s="905"/>
      <c r="V181" s="1523"/>
      <c r="W181" s="1523"/>
      <c r="X181" s="1523"/>
      <c r="Y181" s="1523"/>
      <c r="Z181" s="1523"/>
      <c r="AA181" s="1998"/>
      <c r="AB181" s="927"/>
      <c r="AC181" s="927"/>
      <c r="AD181" s="927"/>
      <c r="AE181" s="927"/>
    </row>
    <row s="32338" customFormat="1" customHeight="1" ht="11.25">
      <c r="A182" s="1349"/>
      <c r="B182" s="2002"/>
      <c r="C182" s="2002"/>
      <c r="D182" s="712"/>
      <c r="K182" s="1523"/>
      <c r="L182" s="2002"/>
      <c r="M182" s="2002"/>
      <c r="N182" s="1523"/>
      <c r="O182" s="1523"/>
      <c r="P182" s="1523"/>
      <c r="Q182" s="1523"/>
      <c r="R182" s="2002"/>
      <c r="S182" s="1523"/>
      <c r="T182" s="1523"/>
      <c r="U182" s="905"/>
      <c r="V182" s="1523"/>
      <c r="W182" s="1523"/>
      <c r="X182" s="1523"/>
      <c r="Y182" s="1523"/>
      <c r="Z182" s="1523"/>
      <c r="AA182" s="1998"/>
      <c r="AB182" s="927"/>
      <c r="AC182" s="927"/>
      <c r="AD182" s="927"/>
      <c r="AE182" s="927"/>
    </row>
    <row s="32338" customFormat="1" customHeight="1" ht="11.25">
      <c r="A183" s="1349"/>
      <c r="B183" s="2002"/>
      <c r="C183" s="2002"/>
      <c r="D183" s="712"/>
      <c r="K183" s="1523"/>
      <c r="L183" s="2002"/>
      <c r="M183" s="2002"/>
      <c r="N183" s="1523"/>
      <c r="O183" s="1523"/>
      <c r="P183" s="1523"/>
      <c r="Q183" s="1523"/>
      <c r="R183" s="2002"/>
      <c r="S183" s="1523"/>
      <c r="T183" s="1523"/>
      <c r="U183" s="905"/>
      <c r="V183" s="1523"/>
      <c r="W183" s="1523"/>
      <c r="X183" s="1523"/>
      <c r="Y183" s="1523"/>
      <c r="Z183" s="1523"/>
      <c r="AA183" s="1998"/>
      <c r="AB183" s="927"/>
      <c r="AC183" s="927"/>
      <c r="AD183" s="927"/>
      <c r="AE183" s="927"/>
    </row>
    <row s="32338" customFormat="1" customHeight="1" ht="11.25">
      <c r="A184" s="1349"/>
      <c r="B184" s="2002"/>
      <c r="C184" s="2002"/>
      <c r="D184" s="712"/>
      <c r="K184" s="1523"/>
      <c r="L184" s="2002"/>
      <c r="M184" s="2002"/>
      <c r="N184" s="1523"/>
      <c r="O184" s="1523"/>
      <c r="P184" s="1523"/>
      <c r="Q184" s="1523"/>
      <c r="R184" s="2002"/>
      <c r="S184" s="1523"/>
      <c r="T184" s="1523"/>
      <c r="U184" s="905"/>
      <c r="V184" s="1523"/>
      <c r="W184" s="1523"/>
      <c r="X184" s="1523"/>
      <c r="Y184" s="1523"/>
      <c r="Z184" s="1523"/>
      <c r="AA184" s="1998"/>
      <c r="AB184" s="927"/>
      <c r="AC184" s="927"/>
      <c r="AD184" s="927"/>
      <c r="AE184" s="927"/>
    </row>
    <row s="32338" customFormat="1" customHeight="1" ht="11.25">
      <c r="A185" s="1349"/>
      <c r="B185" s="2002"/>
      <c r="C185" s="2002"/>
      <c r="D185" s="712"/>
      <c r="K185" s="1523"/>
      <c r="L185" s="2002"/>
      <c r="M185" s="2002"/>
      <c r="N185" s="1523"/>
      <c r="O185" s="1523"/>
      <c r="P185" s="1523"/>
      <c r="Q185" s="1523"/>
      <c r="R185" s="2002"/>
      <c r="S185" s="1523"/>
      <c r="T185" s="1523"/>
      <c r="U185" s="905"/>
      <c r="V185" s="1523"/>
      <c r="W185" s="1523"/>
      <c r="X185" s="1523"/>
      <c r="Y185" s="1523"/>
      <c r="Z185" s="1523"/>
      <c r="AA185" s="1998"/>
      <c r="AB185" s="927"/>
      <c r="AC185" s="927"/>
      <c r="AD185" s="927"/>
      <c r="AE185" s="927"/>
    </row>
    <row s="32338" customFormat="1" customHeight="1" ht="11.25">
      <c r="A186" s="1349"/>
      <c r="B186" s="2002"/>
      <c r="C186" s="2002"/>
      <c r="D186" s="712"/>
      <c r="K186" s="1523"/>
      <c r="L186" s="2002"/>
      <c r="M186" s="2002"/>
      <c r="N186" s="1523"/>
      <c r="O186" s="1523"/>
      <c r="P186" s="1523"/>
      <c r="Q186" s="1523"/>
      <c r="R186" s="2002"/>
      <c r="S186" s="1523"/>
      <c r="T186" s="1523"/>
      <c r="U186" s="905"/>
      <c r="V186" s="1523"/>
      <c r="W186" s="1523"/>
      <c r="X186" s="1523"/>
      <c r="Y186" s="1523"/>
      <c r="Z186" s="1523"/>
      <c r="AA186" s="1998"/>
      <c r="AB186" s="927"/>
      <c r="AC186" s="927"/>
      <c r="AD186" s="927"/>
      <c r="AE186" s="927"/>
    </row>
    <row s="32338" customFormat="1" customHeight="1" ht="11.25">
      <c r="A187" s="1349"/>
      <c r="B187" s="2002"/>
      <c r="C187" s="2002"/>
      <c r="D187" s="712"/>
      <c r="K187" s="1523"/>
      <c r="L187" s="2002"/>
      <c r="M187" s="2002"/>
      <c r="N187" s="1523"/>
      <c r="O187" s="1523"/>
      <c r="P187" s="1523"/>
      <c r="Q187" s="1523"/>
      <c r="R187" s="2002"/>
      <c r="S187" s="1523"/>
      <c r="T187" s="1523"/>
      <c r="U187" s="905"/>
      <c r="V187" s="1523"/>
      <c r="W187" s="1523"/>
      <c r="X187" s="1523"/>
      <c r="Y187" s="1523"/>
      <c r="Z187" s="1523"/>
      <c r="AA187" s="1998"/>
      <c r="AB187" s="927"/>
      <c r="AC187" s="927"/>
      <c r="AD187" s="927"/>
      <c r="AE187" s="927"/>
    </row>
    <row s="32338" customFormat="1" customHeight="1" ht="11.25">
      <c r="A188" s="1349"/>
      <c r="B188" s="2002"/>
      <c r="C188" s="2002"/>
      <c r="D188" s="712"/>
      <c r="K188" s="1523"/>
      <c r="L188" s="2002"/>
      <c r="M188" s="2002"/>
      <c r="N188" s="1523"/>
      <c r="O188" s="1523"/>
      <c r="P188" s="1523"/>
      <c r="Q188" s="1523"/>
      <c r="R188" s="2002"/>
      <c r="S188" s="1523"/>
      <c r="T188" s="1523"/>
      <c r="U188" s="905"/>
      <c r="V188" s="1523"/>
      <c r="W188" s="1523"/>
      <c r="X188" s="1523"/>
      <c r="Y188" s="1523"/>
      <c r="Z188" s="1523"/>
      <c r="AA188" s="1998"/>
      <c r="AB188" s="927"/>
      <c r="AC188" s="927"/>
      <c r="AD188" s="927"/>
      <c r="AE188" s="927"/>
    </row>
    <row s="32338" customFormat="1" customHeight="1" ht="11.25">
      <c r="A189" s="1349"/>
      <c r="B189" s="2002"/>
      <c r="C189" s="2002"/>
      <c r="D189" s="712"/>
      <c r="K189" s="1523"/>
      <c r="L189" s="2002"/>
      <c r="M189" s="2002"/>
      <c r="N189" s="1523"/>
      <c r="O189" s="1523"/>
      <c r="P189" s="1523"/>
      <c r="Q189" s="1523"/>
      <c r="R189" s="2002"/>
      <c r="S189" s="1523"/>
      <c r="T189" s="1523"/>
      <c r="U189" s="905"/>
      <c r="V189" s="1523"/>
      <c r="W189" s="1523"/>
      <c r="X189" s="1523"/>
      <c r="Y189" s="1523"/>
      <c r="Z189" s="1523"/>
      <c r="AA189" s="1998"/>
      <c r="AB189" s="927"/>
      <c r="AC189" s="927"/>
      <c r="AD189" s="927"/>
      <c r="AE189" s="927"/>
    </row>
    <row s="32338" customFormat="1" customHeight="1" ht="11.25">
      <c r="A190" s="1349"/>
      <c r="B190" s="2002"/>
      <c r="C190" s="2002"/>
      <c r="D190" s="712"/>
      <c r="K190" s="1523"/>
      <c r="L190" s="2002"/>
      <c r="M190" s="2002"/>
      <c r="N190" s="1523"/>
      <c r="O190" s="1523"/>
      <c r="P190" s="1523"/>
      <c r="Q190" s="1523"/>
      <c r="R190" s="2002"/>
      <c r="S190" s="1523"/>
      <c r="T190" s="1523"/>
      <c r="U190" s="905"/>
      <c r="V190" s="1523"/>
      <c r="W190" s="1523"/>
      <c r="X190" s="1523"/>
      <c r="Y190" s="1523"/>
      <c r="Z190" s="1523"/>
      <c r="AA190" s="1998"/>
      <c r="AB190" s="927"/>
      <c r="AC190" s="927"/>
      <c r="AD190" s="927"/>
      <c r="AE190" s="927"/>
    </row>
    <row s="32338" customFormat="1" customHeight="1" ht="11.25">
      <c r="A191" s="1349"/>
      <c r="B191" s="2002"/>
      <c r="C191" s="2002"/>
      <c r="D191" s="712"/>
      <c r="K191" s="1523"/>
      <c r="L191" s="2002"/>
      <c r="M191" s="2002"/>
      <c r="N191" s="1523"/>
      <c r="O191" s="1523"/>
      <c r="P191" s="1523"/>
      <c r="Q191" s="1523"/>
      <c r="R191" s="2002"/>
      <c r="S191" s="1523"/>
      <c r="T191" s="1523"/>
      <c r="U191" s="905"/>
      <c r="V191" s="1523"/>
      <c r="W191" s="1523"/>
      <c r="X191" s="1523"/>
      <c r="Y191" s="1523"/>
      <c r="Z191" s="1523"/>
      <c r="AA191" s="1998"/>
      <c r="AB191" s="927"/>
      <c r="AC191" s="927"/>
      <c r="AD191" s="927"/>
      <c r="AE191" s="927"/>
    </row>
    <row s="32338" customFormat="1" customHeight="1" ht="11.25">
      <c r="A192" s="1349"/>
      <c r="B192" s="2002"/>
      <c r="C192" s="2002"/>
      <c r="D192" s="712"/>
      <c r="K192" s="1523"/>
      <c r="L192" s="2002"/>
      <c r="M192" s="2002"/>
      <c r="N192" s="1523"/>
      <c r="O192" s="1523"/>
      <c r="P192" s="1523"/>
      <c r="Q192" s="1523"/>
      <c r="R192" s="2002"/>
      <c r="S192" s="1523"/>
      <c r="T192" s="1523"/>
      <c r="U192" s="905"/>
      <c r="V192" s="1523"/>
      <c r="W192" s="1523"/>
      <c r="X192" s="1523"/>
      <c r="Y192" s="1523"/>
      <c r="Z192" s="1523"/>
      <c r="AA192" s="1998"/>
      <c r="AB192" s="927"/>
      <c r="AC192" s="927"/>
      <c r="AD192" s="927"/>
      <c r="AE192" s="927"/>
    </row>
    <row s="32338" customFormat="1" customHeight="1" ht="11.25">
      <c r="A193" s="1349"/>
      <c r="B193" s="2002"/>
      <c r="C193" s="2002"/>
      <c r="D193" s="712"/>
      <c r="K193" s="1523"/>
      <c r="L193" s="2002"/>
      <c r="M193" s="2002"/>
      <c r="N193" s="1523"/>
      <c r="O193" s="1523"/>
      <c r="P193" s="1523"/>
      <c r="Q193" s="1523"/>
      <c r="R193" s="2002"/>
      <c r="S193" s="1523"/>
      <c r="T193" s="1523"/>
      <c r="U193" s="905"/>
      <c r="V193" s="1523"/>
      <c r="W193" s="1523"/>
      <c r="X193" s="1523"/>
      <c r="Y193" s="1523"/>
      <c r="Z193" s="1523"/>
      <c r="AA193" s="1998"/>
      <c r="AB193" s="927"/>
      <c r="AC193" s="927"/>
      <c r="AD193" s="927"/>
      <c r="AE193" s="927"/>
    </row>
    <row s="32338" customFormat="1" customHeight="1" ht="11.25">
      <c r="A194" s="1349"/>
      <c r="B194" s="2002"/>
      <c r="C194" s="2002"/>
      <c r="D194" s="712"/>
      <c r="K194" s="1523"/>
      <c r="L194" s="2002"/>
      <c r="M194" s="2002"/>
      <c r="N194" s="1523"/>
      <c r="O194" s="1523"/>
      <c r="P194" s="1523"/>
      <c r="Q194" s="1523"/>
      <c r="R194" s="2002"/>
      <c r="S194" s="1523"/>
      <c r="T194" s="1523"/>
      <c r="U194" s="905"/>
      <c r="V194" s="1523"/>
      <c r="W194" s="1523"/>
      <c r="X194" s="1523"/>
      <c r="Y194" s="1523"/>
      <c r="Z194" s="1523"/>
      <c r="AA194" s="1998"/>
      <c r="AB194" s="927"/>
      <c r="AC194" s="927"/>
      <c r="AD194" s="927"/>
      <c r="AE194" s="927"/>
    </row>
    <row s="32338" customFormat="1" customHeight="1" ht="11.25">
      <c r="A195" s="1349"/>
      <c r="B195" s="2002"/>
      <c r="C195" s="2002"/>
      <c r="D195" s="712"/>
      <c r="K195" s="1523"/>
      <c r="L195" s="2002"/>
      <c r="M195" s="2002"/>
      <c r="N195" s="1523"/>
      <c r="O195" s="1523"/>
      <c r="P195" s="1523"/>
      <c r="Q195" s="1523"/>
      <c r="R195" s="2002"/>
      <c r="S195" s="1523"/>
      <c r="T195" s="1523"/>
      <c r="U195" s="905"/>
      <c r="V195" s="1523"/>
      <c r="W195" s="1523"/>
      <c r="X195" s="1523"/>
      <c r="Y195" s="1523"/>
      <c r="Z195" s="1523"/>
      <c r="AA195" s="1998"/>
      <c r="AB195" s="927"/>
      <c r="AC195" s="927"/>
      <c r="AD195" s="927"/>
      <c r="AE195" s="927"/>
    </row>
    <row s="32338" customFormat="1" customHeight="1" ht="11.25">
      <c r="A196" s="1349"/>
      <c r="B196" s="2002"/>
      <c r="C196" s="2002"/>
      <c r="D196" s="712"/>
      <c r="K196" s="1523"/>
      <c r="L196" s="2002"/>
      <c r="M196" s="2002"/>
      <c r="N196" s="1523"/>
      <c r="O196" s="1523"/>
      <c r="P196" s="1523"/>
      <c r="Q196" s="1523"/>
      <c r="R196" s="2002"/>
      <c r="S196" s="1523"/>
      <c r="T196" s="1523"/>
      <c r="U196" s="905"/>
      <c r="V196" s="1523"/>
      <c r="W196" s="1523"/>
      <c r="X196" s="1523"/>
      <c r="Y196" s="1523"/>
      <c r="Z196" s="1523"/>
      <c r="AA196" s="1998"/>
      <c r="AB196" s="927"/>
      <c r="AC196" s="927"/>
      <c r="AD196" s="927"/>
      <c r="AE196" s="927"/>
    </row>
    <row s="32338" customFormat="1" customHeight="1" ht="11.25">
      <c r="A197" s="1349"/>
      <c r="B197" s="2002"/>
      <c r="C197" s="2002"/>
      <c r="D197" s="712"/>
      <c r="K197" s="1523"/>
      <c r="L197" s="2002"/>
      <c r="M197" s="2002"/>
      <c r="N197" s="1523"/>
      <c r="O197" s="1523"/>
      <c r="P197" s="1523"/>
      <c r="Q197" s="1523"/>
      <c r="R197" s="2002"/>
      <c r="S197" s="1523"/>
      <c r="T197" s="1523"/>
      <c r="U197" s="905"/>
      <c r="V197" s="1523"/>
      <c r="W197" s="1523"/>
      <c r="X197" s="1523"/>
      <c r="Y197" s="1523"/>
      <c r="Z197" s="1523"/>
      <c r="AA197" s="1998"/>
      <c r="AB197" s="927"/>
      <c r="AC197" s="927"/>
      <c r="AD197" s="927"/>
      <c r="AE197" s="927"/>
    </row>
    <row s="32338" customFormat="1" customHeight="1" ht="11.25">
      <c r="A198" s="1349"/>
      <c r="B198" s="2002"/>
      <c r="C198" s="2002"/>
      <c r="D198" s="712"/>
      <c r="K198" s="1523"/>
      <c r="L198" s="2002"/>
      <c r="M198" s="2002"/>
      <c r="N198" s="1523"/>
      <c r="O198" s="1523"/>
      <c r="P198" s="1523"/>
      <c r="Q198" s="1523"/>
      <c r="R198" s="2002"/>
      <c r="S198" s="1523"/>
      <c r="T198" s="1523"/>
      <c r="U198" s="905"/>
      <c r="V198" s="1523"/>
      <c r="W198" s="1523"/>
      <c r="X198" s="1523"/>
      <c r="Y198" s="1523"/>
      <c r="Z198" s="1523"/>
      <c r="AA198" s="1998"/>
      <c r="AB198" s="927"/>
      <c r="AC198" s="927"/>
      <c r="AD198" s="927"/>
      <c r="AE198" s="927"/>
    </row>
    <row s="32338" customFormat="1" customHeight="1" ht="11.25">
      <c r="A199" s="1349"/>
      <c r="B199" s="2002"/>
      <c r="C199" s="2002"/>
      <c r="D199" s="712"/>
      <c r="K199" s="1523"/>
      <c r="L199" s="2002"/>
      <c r="M199" s="2002"/>
      <c r="N199" s="1523"/>
      <c r="O199" s="1523"/>
      <c r="P199" s="1523"/>
      <c r="Q199" s="1523"/>
      <c r="R199" s="2002"/>
      <c r="S199" s="1523"/>
      <c r="T199" s="1523"/>
      <c r="U199" s="905"/>
      <c r="V199" s="1523"/>
      <c r="W199" s="1523"/>
      <c r="X199" s="1523"/>
      <c r="Y199" s="1523"/>
      <c r="Z199" s="1523"/>
      <c r="AA199" s="1998"/>
      <c r="AB199" s="927"/>
      <c r="AC199" s="927"/>
      <c r="AD199" s="927"/>
      <c r="AE199" s="927"/>
    </row>
    <row s="32338" customFormat="1" customHeight="1" ht="11.25">
      <c r="A200" s="1349"/>
      <c r="B200" s="2002"/>
      <c r="C200" s="2002"/>
      <c r="D200" s="712"/>
      <c r="K200" s="1523"/>
      <c r="L200" s="2002"/>
      <c r="M200" s="2002"/>
      <c r="N200" s="1523"/>
      <c r="O200" s="1523"/>
      <c r="P200" s="1523"/>
      <c r="Q200" s="1523"/>
      <c r="R200" s="2002"/>
      <c r="S200" s="1523"/>
      <c r="T200" s="1523"/>
      <c r="U200" s="905"/>
      <c r="V200" s="1523"/>
      <c r="W200" s="1523"/>
      <c r="X200" s="1523"/>
      <c r="Y200" s="1523"/>
      <c r="Z200" s="1523"/>
      <c r="AA200" s="1998"/>
      <c r="AB200" s="927"/>
      <c r="AC200" s="927"/>
      <c r="AD200" s="927"/>
      <c r="AE200" s="927"/>
    </row>
    <row s="32338" customFormat="1" customHeight="1" ht="11.25">
      <c r="A201" s="1349"/>
      <c r="B201" s="2002"/>
      <c r="C201" s="2002"/>
      <c r="D201" s="712"/>
      <c r="K201" s="1523"/>
      <c r="L201" s="2002"/>
      <c r="M201" s="2002"/>
      <c r="N201" s="1523"/>
      <c r="O201" s="1523"/>
      <c r="P201" s="1523"/>
      <c r="Q201" s="1523"/>
      <c r="R201" s="2002"/>
      <c r="S201" s="1523"/>
      <c r="T201" s="1523"/>
      <c r="U201" s="905"/>
      <c r="V201" s="1523"/>
      <c r="W201" s="1523"/>
      <c r="X201" s="1523"/>
      <c r="Y201" s="1523"/>
      <c r="Z201" s="1523"/>
      <c r="AA201" s="1998"/>
      <c r="AB201" s="927"/>
      <c r="AC201" s="927"/>
      <c r="AD201" s="927"/>
      <c r="AE201" s="927"/>
    </row>
    <row s="32338" customFormat="1" customHeight="1" ht="11.25">
      <c r="A202" s="1349"/>
      <c r="B202" s="2002"/>
      <c r="C202" s="2002"/>
      <c r="D202" s="712"/>
      <c r="K202" s="1523"/>
      <c r="L202" s="2002"/>
      <c r="M202" s="2002"/>
      <c r="N202" s="1523"/>
      <c r="O202" s="1523"/>
      <c r="P202" s="1523"/>
      <c r="Q202" s="1523"/>
      <c r="R202" s="2002"/>
      <c r="S202" s="1523"/>
      <c r="T202" s="1523"/>
      <c r="U202" s="905"/>
      <c r="V202" s="1523"/>
      <c r="W202" s="1523"/>
      <c r="X202" s="1523"/>
      <c r="Y202" s="1523"/>
      <c r="Z202" s="1523"/>
      <c r="AA202" s="1998"/>
      <c r="AB202" s="927"/>
      <c r="AC202" s="927"/>
      <c r="AD202" s="927"/>
      <c r="AE202" s="927"/>
    </row>
    <row s="32338" customFormat="1" customHeight="1" ht="11.25">
      <c r="A203" s="1349"/>
      <c r="B203" s="2002"/>
      <c r="C203" s="2002"/>
      <c r="D203" s="712"/>
      <c r="K203" s="1523"/>
      <c r="L203" s="2002"/>
      <c r="M203" s="2002"/>
      <c r="N203" s="1523"/>
      <c r="O203" s="1523"/>
      <c r="P203" s="1523"/>
      <c r="Q203" s="1523"/>
      <c r="R203" s="2002"/>
      <c r="S203" s="1523"/>
      <c r="T203" s="1523"/>
      <c r="U203" s="905"/>
      <c r="V203" s="1523"/>
      <c r="W203" s="1523"/>
      <c r="X203" s="1523"/>
      <c r="Y203" s="1523"/>
      <c r="Z203" s="1523"/>
      <c r="AA203" s="1998"/>
      <c r="AB203" s="927"/>
      <c r="AC203" s="927"/>
      <c r="AD203" s="927"/>
      <c r="AE203" s="927"/>
    </row>
    <row s="32338" customFormat="1" customHeight="1" ht="11.25">
      <c r="A204" s="1349"/>
      <c r="B204" s="2002"/>
      <c r="C204" s="2002"/>
      <c r="D204" s="712"/>
      <c r="K204" s="1523"/>
      <c r="L204" s="2002"/>
      <c r="M204" s="2002"/>
      <c r="N204" s="1523"/>
      <c r="O204" s="1523"/>
      <c r="P204" s="1523"/>
      <c r="Q204" s="1523"/>
      <c r="R204" s="2002"/>
      <c r="S204" s="1523"/>
      <c r="T204" s="1523"/>
      <c r="U204" s="905"/>
      <c r="V204" s="1523"/>
      <c r="W204" s="1523"/>
      <c r="X204" s="1523"/>
      <c r="Y204" s="1523"/>
      <c r="Z204" s="1523"/>
      <c r="AA204" s="1998"/>
      <c r="AB204" s="927"/>
      <c r="AC204" s="927"/>
      <c r="AD204" s="927"/>
      <c r="AE204" s="927"/>
    </row>
    <row s="32338" customFormat="1" customHeight="1" ht="11.25">
      <c r="A205" s="1349"/>
      <c r="B205" s="2002"/>
      <c r="C205" s="2002"/>
      <c r="D205" s="712"/>
      <c r="K205" s="1523"/>
      <c r="L205" s="2002"/>
      <c r="M205" s="2002"/>
      <c r="N205" s="1523"/>
      <c r="O205" s="1523"/>
      <c r="P205" s="1523"/>
      <c r="Q205" s="1523"/>
      <c r="R205" s="2002"/>
      <c r="S205" s="1523"/>
      <c r="T205" s="1523"/>
      <c r="U205" s="905"/>
      <c r="V205" s="1523"/>
      <c r="W205" s="1523"/>
      <c r="X205" s="1523"/>
      <c r="Y205" s="1523"/>
      <c r="Z205" s="1523"/>
      <c r="AA205" s="1998"/>
      <c r="AB205" s="927"/>
      <c r="AC205" s="927"/>
      <c r="AD205" s="927"/>
      <c r="AE205" s="927"/>
    </row>
    <row s="32338" customFormat="1" customHeight="1" ht="11.25">
      <c r="A206" s="1349"/>
      <c r="B206" s="2002"/>
      <c r="C206" s="2002"/>
      <c r="D206" s="712"/>
      <c r="K206" s="1523"/>
      <c r="L206" s="2002"/>
      <c r="M206" s="2002"/>
      <c r="N206" s="1523"/>
      <c r="O206" s="1523"/>
      <c r="P206" s="1523"/>
      <c r="Q206" s="1523"/>
      <c r="R206" s="2002"/>
      <c r="S206" s="1523"/>
      <c r="T206" s="1523"/>
      <c r="U206" s="905"/>
      <c r="V206" s="1523"/>
      <c r="W206" s="1523"/>
      <c r="X206" s="1523"/>
      <c r="Y206" s="1523"/>
      <c r="Z206" s="1523"/>
      <c r="AA206" s="1998"/>
      <c r="AB206" s="927"/>
      <c r="AC206" s="927"/>
      <c r="AD206" s="927"/>
      <c r="AE206" s="927"/>
    </row>
    <row s="32338" customFormat="1" customHeight="1" ht="11.25">
      <c r="A207" s="1349"/>
      <c r="B207" s="2002"/>
      <c r="C207" s="2002"/>
      <c r="D207" s="712"/>
      <c r="K207" s="1523"/>
      <c r="L207" s="2002"/>
      <c r="M207" s="2002"/>
      <c r="N207" s="1523"/>
      <c r="O207" s="1523"/>
      <c r="P207" s="1523"/>
      <c r="Q207" s="1523"/>
      <c r="R207" s="2002"/>
      <c r="S207" s="1523"/>
      <c r="T207" s="1523"/>
      <c r="U207" s="905"/>
      <c r="V207" s="1523"/>
      <c r="W207" s="1523"/>
      <c r="X207" s="1523"/>
      <c r="Y207" s="1523"/>
      <c r="Z207" s="1523"/>
      <c r="AA207" s="1998"/>
      <c r="AB207" s="927"/>
      <c r="AC207" s="927"/>
      <c r="AD207" s="927"/>
      <c r="AE207" s="927"/>
    </row>
    <row s="32338" customFormat="1" customHeight="1" ht="11.25">
      <c r="A208" s="1349"/>
      <c r="B208" s="2002"/>
      <c r="C208" s="2002"/>
      <c r="D208" s="712"/>
      <c r="K208" s="1523"/>
      <c r="L208" s="2002"/>
      <c r="M208" s="2002"/>
      <c r="N208" s="1523"/>
      <c r="O208" s="1523"/>
      <c r="P208" s="1523"/>
      <c r="Q208" s="1523"/>
      <c r="R208" s="2002"/>
      <c r="S208" s="1523"/>
      <c r="T208" s="1523"/>
      <c r="U208" s="905"/>
      <c r="V208" s="1523"/>
      <c r="W208" s="1523"/>
      <c r="X208" s="1523"/>
      <c r="Y208" s="1523"/>
      <c r="Z208" s="1523"/>
      <c r="AA208" s="1998"/>
      <c r="AB208" s="927"/>
      <c r="AC208" s="927"/>
      <c r="AD208" s="927"/>
      <c r="AE208" s="927"/>
    </row>
    <row s="32338" customFormat="1" customHeight="1" ht="11.25">
      <c r="A209" s="1349"/>
      <c r="B209" s="2002"/>
      <c r="C209" s="2002"/>
      <c r="D209" s="712"/>
      <c r="K209" s="1523"/>
      <c r="L209" s="2002"/>
      <c r="M209" s="2002"/>
      <c r="N209" s="1523"/>
      <c r="O209" s="1523"/>
      <c r="P209" s="1523"/>
      <c r="Q209" s="1523"/>
      <c r="R209" s="2002"/>
      <c r="S209" s="1523"/>
      <c r="T209" s="1523"/>
      <c r="U209" s="905"/>
      <c r="V209" s="1523"/>
      <c r="W209" s="1523"/>
      <c r="X209" s="1523"/>
      <c r="Y209" s="1523"/>
      <c r="Z209" s="1523"/>
      <c r="AA209" s="1998"/>
      <c r="AB209" s="927"/>
      <c r="AC209" s="927"/>
      <c r="AD209" s="927"/>
      <c r="AE209" s="927"/>
    </row>
    <row s="32338" customFormat="1" customHeight="1" ht="11.25">
      <c r="A210" s="1349"/>
      <c r="B210" s="2002"/>
      <c r="C210" s="2002"/>
      <c r="D210" s="712"/>
      <c r="K210" s="1523"/>
      <c r="L210" s="2002"/>
      <c r="M210" s="2002"/>
      <c r="N210" s="1523"/>
      <c r="O210" s="1523"/>
      <c r="P210" s="1523"/>
      <c r="Q210" s="1523"/>
      <c r="R210" s="2002"/>
      <c r="S210" s="1523"/>
      <c r="T210" s="1523"/>
      <c r="U210" s="905"/>
      <c r="V210" s="1523"/>
      <c r="W210" s="1523"/>
      <c r="X210" s="1523"/>
      <c r="Y210" s="1523"/>
      <c r="Z210" s="1523"/>
      <c r="AA210" s="1998"/>
      <c r="AB210" s="927"/>
      <c r="AC210" s="927"/>
      <c r="AD210" s="927"/>
      <c r="AE210" s="927"/>
    </row>
    <row s="32338" customFormat="1" customHeight="1" ht="11.25">
      <c r="A211" s="1349"/>
      <c r="B211" s="2002"/>
      <c r="C211" s="2002"/>
      <c r="D211" s="712"/>
      <c r="K211" s="1523"/>
      <c r="L211" s="2002"/>
      <c r="M211" s="2002"/>
      <c r="N211" s="1523"/>
      <c r="O211" s="1523"/>
      <c r="P211" s="1523"/>
      <c r="Q211" s="1523"/>
      <c r="R211" s="2002"/>
      <c r="S211" s="1523"/>
      <c r="T211" s="1523"/>
      <c r="U211" s="905"/>
      <c r="V211" s="1523"/>
      <c r="W211" s="1523"/>
      <c r="X211" s="1523"/>
      <c r="Y211" s="1523"/>
      <c r="Z211" s="1523"/>
      <c r="AA211" s="1998"/>
      <c r="AB211" s="927"/>
      <c r="AC211" s="927"/>
      <c r="AD211" s="927"/>
      <c r="AE211" s="927"/>
    </row>
    <row s="32338" customFormat="1" customHeight="1" ht="11.25">
      <c r="A212" s="1349"/>
      <c r="B212" s="2002"/>
      <c r="C212" s="2002"/>
      <c r="D212" s="712"/>
      <c r="K212" s="1523"/>
      <c r="L212" s="2002"/>
      <c r="M212" s="2002"/>
      <c r="N212" s="1523"/>
      <c r="O212" s="1523"/>
      <c r="P212" s="1523"/>
      <c r="Q212" s="1523"/>
      <c r="R212" s="2002"/>
      <c r="S212" s="1523"/>
      <c r="T212" s="1523"/>
      <c r="U212" s="905"/>
      <c r="V212" s="1523"/>
      <c r="W212" s="1523"/>
      <c r="X212" s="1523"/>
      <c r="Y212" s="1523"/>
      <c r="Z212" s="1523"/>
      <c r="AA212" s="1998"/>
      <c r="AB212" s="927"/>
      <c r="AC212" s="927"/>
      <c r="AD212" s="927"/>
      <c r="AE212" s="927"/>
    </row>
    <row s="32338" customFormat="1" customHeight="1" ht="11.25">
      <c r="A213" s="1349"/>
      <c r="B213" s="2002"/>
      <c r="C213" s="2002"/>
      <c r="D213" s="712"/>
      <c r="K213" s="1523"/>
      <c r="L213" s="2002"/>
      <c r="M213" s="2002"/>
      <c r="N213" s="1523"/>
      <c r="O213" s="1523"/>
      <c r="P213" s="1523"/>
      <c r="Q213" s="1523"/>
      <c r="R213" s="2002"/>
      <c r="S213" s="1523"/>
      <c r="T213" s="1523"/>
      <c r="U213" s="905"/>
      <c r="V213" s="1523"/>
      <c r="W213" s="1523"/>
      <c r="X213" s="1523"/>
      <c r="Y213" s="1523"/>
      <c r="Z213" s="1523"/>
      <c r="AA213" s="1998"/>
      <c r="AB213" s="927"/>
      <c r="AC213" s="927"/>
      <c r="AD213" s="927"/>
      <c r="AE213" s="927"/>
    </row>
    <row s="32338" customFormat="1" customHeight="1" ht="11.25">
      <c r="A214" s="1349"/>
      <c r="B214" s="2002"/>
      <c r="C214" s="2002"/>
      <c r="D214" s="712"/>
      <c r="K214" s="1523"/>
      <c r="L214" s="2002"/>
      <c r="M214" s="2002"/>
      <c r="N214" s="1523"/>
      <c r="O214" s="1523"/>
      <c r="P214" s="1523"/>
      <c r="Q214" s="1523"/>
      <c r="R214" s="2002"/>
      <c r="S214" s="1523"/>
      <c r="T214" s="1523"/>
      <c r="U214" s="905"/>
      <c r="V214" s="1523"/>
      <c r="W214" s="1523"/>
      <c r="X214" s="1523"/>
      <c r="Y214" s="1523"/>
      <c r="Z214" s="1523"/>
      <c r="AA214" s="1998"/>
      <c r="AB214" s="927"/>
      <c r="AC214" s="927"/>
      <c r="AD214" s="927"/>
      <c r="AE214" s="927"/>
    </row>
    <row s="32338" customFormat="1" customHeight="1" ht="11.25">
      <c r="A215" s="1349"/>
      <c r="B215" s="2002"/>
      <c r="C215" s="2002"/>
      <c r="D215" s="712"/>
      <c r="K215" s="1523"/>
      <c r="L215" s="2002"/>
      <c r="M215" s="2002"/>
      <c r="N215" s="1523"/>
      <c r="O215" s="1523"/>
      <c r="P215" s="1523"/>
      <c r="Q215" s="1523"/>
      <c r="R215" s="2002"/>
      <c r="S215" s="1523"/>
      <c r="T215" s="1523"/>
      <c r="U215" s="905"/>
      <c r="V215" s="1523"/>
      <c r="W215" s="1523"/>
      <c r="X215" s="1523"/>
      <c r="Y215" s="1523"/>
      <c r="Z215" s="1523"/>
      <c r="AA215" s="1998"/>
      <c r="AB215" s="927"/>
      <c r="AC215" s="927"/>
      <c r="AD215" s="927"/>
      <c r="AE215" s="927"/>
    </row>
    <row s="32338" customFormat="1" customHeight="1" ht="11.25">
      <c r="A216" s="1349"/>
      <c r="B216" s="2002"/>
      <c r="C216" s="2002"/>
      <c r="D216" s="712"/>
      <c r="K216" s="1523"/>
      <c r="L216" s="2002"/>
      <c r="M216" s="2002"/>
      <c r="N216" s="1523"/>
      <c r="O216" s="1523"/>
      <c r="P216" s="1523"/>
      <c r="Q216" s="1523"/>
      <c r="R216" s="2002"/>
      <c r="S216" s="1523"/>
      <c r="T216" s="1523"/>
      <c r="U216" s="905"/>
      <c r="V216" s="1523"/>
      <c r="W216" s="1523"/>
      <c r="X216" s="1523"/>
      <c r="Y216" s="1523"/>
      <c r="Z216" s="1523"/>
      <c r="AA216" s="1998"/>
      <c r="AB216" s="927"/>
      <c r="AC216" s="927"/>
      <c r="AD216" s="927"/>
      <c r="AE216" s="927"/>
    </row>
    <row s="32338" customFormat="1" customHeight="1" ht="11.25">
      <c r="A217" s="1349"/>
      <c r="B217" s="2002"/>
      <c r="C217" s="2002"/>
      <c r="D217" s="712"/>
      <c r="K217" s="1523"/>
      <c r="L217" s="2002"/>
      <c r="M217" s="2002"/>
      <c r="N217" s="1523"/>
      <c r="O217" s="1523"/>
      <c r="P217" s="1523"/>
      <c r="Q217" s="1523"/>
      <c r="R217" s="2002"/>
      <c r="S217" s="1523"/>
      <c r="T217" s="1523"/>
      <c r="U217" s="905"/>
      <c r="V217" s="1523"/>
      <c r="W217" s="1523"/>
      <c r="X217" s="1523"/>
      <c r="Y217" s="1523"/>
      <c r="Z217" s="1523"/>
      <c r="AA217" s="1998"/>
      <c r="AB217" s="927"/>
      <c r="AC217" s="927"/>
      <c r="AD217" s="927"/>
      <c r="AE217" s="927"/>
    </row>
    <row s="32338" customFormat="1" customHeight="1" ht="11.25">
      <c r="A218" s="1349"/>
      <c r="B218" s="2002"/>
      <c r="C218" s="2002"/>
      <c r="D218" s="712"/>
      <c r="K218" s="1523"/>
      <c r="L218" s="2002"/>
      <c r="M218" s="2002"/>
      <c r="N218" s="1523"/>
      <c r="O218" s="1523"/>
      <c r="P218" s="1523"/>
      <c r="Q218" s="1523"/>
      <c r="R218" s="2002"/>
      <c r="S218" s="1523"/>
      <c r="T218" s="1523"/>
      <c r="U218" s="905"/>
      <c r="V218" s="1523"/>
      <c r="W218" s="1523"/>
      <c r="X218" s="1523"/>
      <c r="Y218" s="1523"/>
      <c r="Z218" s="1523"/>
      <c r="AA218" s="1998"/>
      <c r="AB218" s="927"/>
      <c r="AC218" s="927"/>
      <c r="AD218" s="927"/>
      <c r="AE218" s="927"/>
    </row>
    <row s="32338" customFormat="1" customHeight="1" ht="11.25">
      <c r="A219" s="1349"/>
      <c r="B219" s="2002"/>
      <c r="C219" s="2002"/>
      <c r="D219" s="712"/>
      <c r="K219" s="1523"/>
      <c r="L219" s="2002"/>
      <c r="M219" s="2002"/>
      <c r="N219" s="1523"/>
      <c r="O219" s="1523"/>
      <c r="P219" s="1523"/>
      <c r="Q219" s="1523"/>
      <c r="R219" s="2002"/>
      <c r="S219" s="1523"/>
      <c r="T219" s="1523"/>
      <c r="U219" s="905"/>
      <c r="V219" s="1523"/>
      <c r="W219" s="1523"/>
      <c r="X219" s="1523"/>
      <c r="Y219" s="1523"/>
      <c r="Z219" s="1523"/>
      <c r="AA219" s="1998"/>
      <c r="AB219" s="927"/>
      <c r="AC219" s="927"/>
      <c r="AD219" s="927"/>
      <c r="AE219" s="927"/>
    </row>
    <row s="32338" customFormat="1" customHeight="1" ht="11.25">
      <c r="A220" s="1349"/>
      <c r="B220" s="2002"/>
      <c r="C220" s="2002"/>
      <c r="D220" s="712"/>
      <c r="K220" s="1523"/>
      <c r="L220" s="2002"/>
      <c r="M220" s="2002"/>
      <c r="N220" s="1523"/>
      <c r="O220" s="1523"/>
      <c r="P220" s="1523"/>
      <c r="Q220" s="1523"/>
      <c r="R220" s="2002"/>
      <c r="S220" s="1523"/>
      <c r="T220" s="1523"/>
      <c r="U220" s="905"/>
      <c r="V220" s="1523"/>
      <c r="W220" s="1523"/>
      <c r="X220" s="1523"/>
      <c r="Y220" s="1523"/>
      <c r="Z220" s="1523"/>
      <c r="AA220" s="1998"/>
      <c r="AB220" s="927"/>
      <c r="AC220" s="927"/>
      <c r="AD220" s="927"/>
      <c r="AE220" s="927"/>
    </row>
    <row s="32338" customFormat="1" customHeight="1" ht="11.25">
      <c r="A221" s="1349"/>
      <c r="B221" s="2002"/>
      <c r="C221" s="2002"/>
      <c r="D221" s="712"/>
      <c r="K221" s="1523"/>
      <c r="L221" s="2002"/>
      <c r="M221" s="2002"/>
      <c r="N221" s="1523"/>
      <c r="O221" s="1523"/>
      <c r="P221" s="1523"/>
      <c r="Q221" s="1523"/>
      <c r="R221" s="2002"/>
      <c r="S221" s="1523"/>
      <c r="T221" s="1523"/>
      <c r="U221" s="905"/>
      <c r="V221" s="1523"/>
      <c r="W221" s="1523"/>
      <c r="X221" s="1523"/>
      <c r="Y221" s="1523"/>
      <c r="Z221" s="1523"/>
      <c r="AA221" s="1998"/>
      <c r="AB221" s="927"/>
      <c r="AC221" s="927"/>
      <c r="AD221" s="927"/>
      <c r="AE221" s="927"/>
    </row>
    <row s="32338" customFormat="1" customHeight="1" ht="11.25">
      <c r="A222" s="1349"/>
      <c r="B222" s="2002"/>
      <c r="C222" s="2002"/>
      <c r="D222" s="712"/>
      <c r="K222" s="1523"/>
      <c r="L222" s="2002"/>
      <c r="M222" s="2002"/>
      <c r="N222" s="1523"/>
      <c r="O222" s="1523"/>
      <c r="P222" s="1523"/>
      <c r="Q222" s="1523"/>
      <c r="R222" s="2002"/>
      <c r="S222" s="1523"/>
      <c r="T222" s="1523"/>
      <c r="U222" s="905"/>
      <c r="V222" s="1523"/>
      <c r="W222" s="1523"/>
      <c r="X222" s="1523"/>
      <c r="Y222" s="1523"/>
      <c r="Z222" s="1523"/>
      <c r="AA222" s="1998"/>
      <c r="AB222" s="927"/>
      <c r="AC222" s="927"/>
      <c r="AD222" s="927"/>
      <c r="AE222" s="927"/>
    </row>
    <row s="32338" customFormat="1" customHeight="1" ht="11.25">
      <c r="A223" s="1349"/>
      <c r="B223" s="2002"/>
      <c r="C223" s="2002"/>
      <c r="D223" s="712"/>
      <c r="K223" s="1523"/>
      <c r="L223" s="2002"/>
      <c r="M223" s="2002"/>
      <c r="N223" s="1523"/>
      <c r="O223" s="1523"/>
      <c r="P223" s="1523"/>
      <c r="Q223" s="1523"/>
      <c r="R223" s="2002"/>
      <c r="S223" s="1523"/>
      <c r="T223" s="1523"/>
      <c r="U223" s="905"/>
      <c r="V223" s="1523"/>
      <c r="W223" s="1523"/>
      <c r="X223" s="1523"/>
      <c r="Y223" s="1523"/>
      <c r="Z223" s="1523"/>
      <c r="AA223" s="1998"/>
      <c r="AB223" s="927"/>
      <c r="AC223" s="927"/>
      <c r="AD223" s="927"/>
      <c r="AE223" s="927"/>
    </row>
    <row s="32338" customFormat="1" customHeight="1" ht="11.25">
      <c r="A224" s="1349"/>
      <c r="B224" s="2002"/>
      <c r="C224" s="2002"/>
      <c r="D224" s="712"/>
      <c r="K224" s="1523"/>
      <c r="L224" s="2002"/>
      <c r="M224" s="2002"/>
      <c r="N224" s="1523"/>
      <c r="O224" s="1523"/>
      <c r="P224" s="1523"/>
      <c r="Q224" s="1523"/>
      <c r="R224" s="2002"/>
      <c r="S224" s="1523"/>
      <c r="T224" s="1523"/>
      <c r="U224" s="905"/>
      <c r="V224" s="1523"/>
      <c r="W224" s="1523"/>
      <c r="X224" s="1523"/>
      <c r="Y224" s="1523"/>
      <c r="Z224" s="1523"/>
      <c r="AA224" s="1998"/>
      <c r="AB224" s="927"/>
      <c r="AC224" s="927"/>
      <c r="AD224" s="927"/>
      <c r="AE224" s="927"/>
    </row>
    <row s="32338" customFormat="1" customHeight="1" ht="11.25">
      <c r="A225" s="1349"/>
      <c r="B225" s="2002"/>
      <c r="C225" s="2002"/>
      <c r="D225" s="712"/>
      <c r="K225" s="1523"/>
      <c r="L225" s="2002"/>
      <c r="M225" s="2002"/>
      <c r="N225" s="1523"/>
      <c r="O225" s="1523"/>
      <c r="P225" s="1523"/>
      <c r="Q225" s="1523"/>
      <c r="R225" s="2002"/>
      <c r="S225" s="1523"/>
      <c r="T225" s="1523"/>
      <c r="U225" s="905"/>
      <c r="V225" s="1523"/>
      <c r="W225" s="1523"/>
      <c r="X225" s="1523"/>
      <c r="Y225" s="1523"/>
      <c r="Z225" s="1523"/>
      <c r="AA225" s="1998"/>
      <c r="AB225" s="927"/>
      <c r="AC225" s="927"/>
      <c r="AD225" s="927"/>
      <c r="AE225" s="927"/>
    </row>
    <row s="32338" customFormat="1" customHeight="1" ht="11.25">
      <c r="A226" s="1349"/>
      <c r="B226" s="2002"/>
      <c r="C226" s="2002"/>
      <c r="D226" s="712"/>
      <c r="K226" s="1523"/>
      <c r="L226" s="2002"/>
      <c r="M226" s="2002"/>
      <c r="N226" s="1523"/>
      <c r="O226" s="1523"/>
      <c r="P226" s="1523"/>
      <c r="Q226" s="1523"/>
      <c r="R226" s="2002"/>
      <c r="S226" s="1523"/>
      <c r="T226" s="1523"/>
      <c r="U226" s="905"/>
      <c r="V226" s="1523"/>
      <c r="W226" s="1523"/>
      <c r="X226" s="1523"/>
      <c r="Y226" s="1523"/>
      <c r="Z226" s="1523"/>
      <c r="AA226" s="1998"/>
      <c r="AB226" s="927"/>
      <c r="AC226" s="927"/>
      <c r="AD226" s="927"/>
      <c r="AE226" s="927"/>
    </row>
    <row s="32338" customFormat="1" customHeight="1" ht="11.25">
      <c r="A227" s="1349"/>
      <c r="B227" s="2002"/>
      <c r="C227" s="2002"/>
      <c r="D227" s="712"/>
      <c r="K227" s="1523"/>
      <c r="L227" s="2002"/>
      <c r="M227" s="2002"/>
      <c r="N227" s="1523"/>
      <c r="O227" s="1523"/>
      <c r="P227" s="1523"/>
      <c r="Q227" s="1523"/>
      <c r="R227" s="2002"/>
      <c r="S227" s="1523"/>
      <c r="T227" s="1523"/>
      <c r="U227" s="905"/>
      <c r="V227" s="1523"/>
      <c r="W227" s="1523"/>
      <c r="X227" s="1523"/>
      <c r="Y227" s="1523"/>
      <c r="Z227" s="1523"/>
      <c r="AA227" s="1998"/>
      <c r="AB227" s="927"/>
      <c r="AC227" s="927"/>
      <c r="AD227" s="927"/>
      <c r="AE227" s="927"/>
    </row>
    <row s="32338" customFormat="1" customHeight="1" ht="11.25">
      <c r="A228" s="1349"/>
      <c r="B228" s="2002"/>
      <c r="C228" s="2002"/>
      <c r="D228" s="712"/>
      <c r="K228" s="1523"/>
      <c r="L228" s="2002"/>
      <c r="M228" s="2002"/>
      <c r="N228" s="1523"/>
      <c r="O228" s="1523"/>
      <c r="P228" s="1523"/>
      <c r="Q228" s="1523"/>
      <c r="R228" s="2002"/>
      <c r="S228" s="1523"/>
      <c r="T228" s="1523"/>
      <c r="U228" s="905"/>
      <c r="V228" s="1523"/>
      <c r="W228" s="1523"/>
      <c r="X228" s="1523"/>
      <c r="Y228" s="1523"/>
      <c r="Z228" s="1523"/>
      <c r="AA228" s="1998"/>
      <c r="AB228" s="927"/>
      <c r="AC228" s="927"/>
      <c r="AD228" s="927"/>
      <c r="AE228" s="927"/>
    </row>
    <row s="32338" customFormat="1" customHeight="1" ht="11.25">
      <c r="A229" s="1349"/>
      <c r="B229" s="2002"/>
      <c r="C229" s="2002"/>
      <c r="D229" s="712"/>
      <c r="K229" s="1523"/>
      <c r="L229" s="2002"/>
      <c r="M229" s="2002"/>
      <c r="N229" s="1523"/>
      <c r="O229" s="1523"/>
      <c r="P229" s="1523"/>
      <c r="Q229" s="1523"/>
      <c r="R229" s="2002"/>
      <c r="S229" s="1523"/>
      <c r="T229" s="1523"/>
      <c r="U229" s="905"/>
      <c r="V229" s="1523"/>
      <c r="W229" s="1523"/>
      <c r="X229" s="1523"/>
      <c r="Y229" s="1523"/>
      <c r="Z229" s="1523"/>
      <c r="AA229" s="1998"/>
      <c r="AB229" s="927"/>
      <c r="AC229" s="927"/>
      <c r="AD229" s="927"/>
      <c r="AE229" s="927"/>
    </row>
    <row s="32338" customFormat="1" customHeight="1" ht="11.25">
      <c r="A230" s="1349"/>
      <c r="B230" s="2002"/>
      <c r="C230" s="2002"/>
      <c r="D230" s="712"/>
      <c r="K230" s="1523"/>
      <c r="L230" s="2002"/>
      <c r="M230" s="2002"/>
      <c r="N230" s="1523"/>
      <c r="O230" s="1523"/>
      <c r="P230" s="1523"/>
      <c r="Q230" s="1523"/>
      <c r="R230" s="2002"/>
      <c r="S230" s="1523"/>
      <c r="T230" s="1523"/>
      <c r="U230" s="905"/>
      <c r="V230" s="1523"/>
      <c r="W230" s="1523"/>
      <c r="X230" s="1523"/>
      <c r="Y230" s="1523"/>
      <c r="Z230" s="1523"/>
      <c r="AA230" s="1998"/>
      <c r="AB230" s="927"/>
      <c r="AC230" s="927"/>
      <c r="AD230" s="927"/>
      <c r="AE230" s="927"/>
    </row>
    <row s="32338" customFormat="1" customHeight="1" ht="11.25">
      <c r="A231" s="1349"/>
      <c r="B231" s="2002"/>
      <c r="C231" s="2002"/>
      <c r="D231" s="712"/>
      <c r="K231" s="1523"/>
      <c r="L231" s="2002"/>
      <c r="M231" s="2002"/>
      <c r="N231" s="1523"/>
      <c r="O231" s="1523"/>
      <c r="P231" s="1523"/>
      <c r="Q231" s="1523"/>
      <c r="R231" s="2002"/>
      <c r="S231" s="1523"/>
      <c r="T231" s="1523"/>
      <c r="U231" s="905"/>
      <c r="V231" s="1523"/>
      <c r="W231" s="1523"/>
      <c r="X231" s="1523"/>
      <c r="Y231" s="1523"/>
      <c r="Z231" s="1523"/>
      <c r="AA231" s="1998"/>
      <c r="AB231" s="927"/>
      <c r="AC231" s="927"/>
      <c r="AD231" s="927"/>
      <c r="AE231" s="927"/>
    </row>
    <row s="32338" customFormat="1" customHeight="1" ht="11.25">
      <c r="A232" s="1349"/>
      <c r="B232" s="2002"/>
      <c r="C232" s="2002"/>
      <c r="D232" s="712"/>
      <c r="K232" s="1523"/>
      <c r="L232" s="2002"/>
      <c r="M232" s="2002"/>
      <c r="N232" s="1523"/>
      <c r="O232" s="1523"/>
      <c r="P232" s="1523"/>
      <c r="Q232" s="1523"/>
      <c r="R232" s="2002"/>
      <c r="S232" s="1523"/>
      <c r="T232" s="1523"/>
      <c r="U232" s="905"/>
      <c r="V232" s="1523"/>
      <c r="W232" s="1523"/>
      <c r="X232" s="1523"/>
      <c r="Y232" s="1523"/>
      <c r="Z232" s="1523"/>
      <c r="AA232" s="1998"/>
      <c r="AB232" s="927"/>
      <c r="AC232" s="927"/>
      <c r="AD232" s="927"/>
      <c r="AE232" s="927"/>
    </row>
    <row s="32338" customFormat="1" customHeight="1" ht="11.25">
      <c r="A233" s="1349"/>
      <c r="B233" s="2002"/>
      <c r="C233" s="2002"/>
      <c r="D233" s="712"/>
      <c r="K233" s="1523"/>
      <c r="L233" s="2002"/>
      <c r="M233" s="2002"/>
      <c r="N233" s="1523"/>
      <c r="O233" s="1523"/>
      <c r="P233" s="1523"/>
      <c r="Q233" s="1523"/>
      <c r="R233" s="2002"/>
      <c r="S233" s="1523"/>
      <c r="T233" s="1523"/>
      <c r="U233" s="905"/>
      <c r="V233" s="1523"/>
      <c r="W233" s="1523"/>
      <c r="X233" s="1523"/>
      <c r="Y233" s="1523"/>
      <c r="Z233" s="1523"/>
      <c r="AA233" s="1998"/>
      <c r="AB233" s="927"/>
      <c r="AC233" s="927"/>
      <c r="AD233" s="927"/>
      <c r="AE233" s="927"/>
    </row>
    <row s="32338" customFormat="1" customHeight="1" ht="11.25">
      <c r="A234" s="1349"/>
      <c r="B234" s="2002"/>
      <c r="C234" s="2002"/>
      <c r="D234" s="712"/>
      <c r="K234" s="1523"/>
      <c r="L234" s="2002"/>
      <c r="M234" s="2002"/>
      <c r="N234" s="1523"/>
      <c r="O234" s="1523"/>
      <c r="P234" s="1523"/>
      <c r="Q234" s="1523"/>
      <c r="R234" s="2002"/>
      <c r="S234" s="1523"/>
      <c r="T234" s="1523"/>
      <c r="U234" s="905"/>
      <c r="V234" s="1523"/>
      <c r="W234" s="1523"/>
      <c r="X234" s="1523"/>
      <c r="Y234" s="1523"/>
      <c r="Z234" s="1523"/>
      <c r="AA234" s="1998"/>
      <c r="AB234" s="927"/>
      <c r="AC234" s="927"/>
      <c r="AD234" s="927"/>
      <c r="AE234" s="927"/>
    </row>
    <row s="32338" customFormat="1" customHeight="1" ht="11.25">
      <c r="A235" s="1349"/>
      <c r="B235" s="2002"/>
      <c r="C235" s="2002"/>
      <c r="D235" s="712"/>
      <c r="K235" s="1523"/>
      <c r="L235" s="2002"/>
      <c r="M235" s="2002"/>
      <c r="N235" s="1523"/>
      <c r="O235" s="1523"/>
      <c r="P235" s="1523"/>
      <c r="Q235" s="1523"/>
      <c r="R235" s="2002"/>
      <c r="S235" s="1523"/>
      <c r="T235" s="1523"/>
      <c r="U235" s="905"/>
      <c r="V235" s="1523"/>
      <c r="W235" s="1523"/>
      <c r="X235" s="1523"/>
      <c r="Y235" s="1523"/>
      <c r="Z235" s="1523"/>
      <c r="AA235" s="1998"/>
      <c r="AB235" s="927"/>
      <c r="AC235" s="927"/>
      <c r="AD235" s="927"/>
      <c r="AE235" s="927"/>
    </row>
    <row s="32338" customFormat="1" customHeight="1" ht="11.25">
      <c r="A236" s="1349"/>
      <c r="B236" s="2002"/>
      <c r="C236" s="2002"/>
      <c r="D236" s="712"/>
      <c r="K236" s="1523"/>
      <c r="L236" s="2002"/>
      <c r="M236" s="2002"/>
      <c r="N236" s="1523"/>
      <c r="O236" s="1523"/>
      <c r="P236" s="1523"/>
      <c r="Q236" s="1523"/>
      <c r="R236" s="2002"/>
      <c r="S236" s="1523"/>
      <c r="T236" s="1523"/>
      <c r="U236" s="905"/>
      <c r="V236" s="1523"/>
      <c r="W236" s="1523"/>
      <c r="X236" s="1523"/>
      <c r="Y236" s="1523"/>
      <c r="Z236" s="1523"/>
      <c r="AA236" s="1998"/>
      <c r="AB236" s="927"/>
      <c r="AC236" s="927"/>
      <c r="AD236" s="927"/>
      <c r="AE236" s="927"/>
    </row>
    <row s="32338" customFormat="1" customHeight="1" ht="11.25">
      <c r="A237" s="1349"/>
      <c r="B237" s="2002"/>
      <c r="C237" s="2002"/>
      <c r="D237" s="712"/>
      <c r="K237" s="1523"/>
      <c r="L237" s="2002"/>
      <c r="M237" s="2002"/>
      <c r="N237" s="1523"/>
      <c r="O237" s="1523"/>
      <c r="P237" s="1523"/>
      <c r="Q237" s="1523"/>
      <c r="R237" s="2002"/>
      <c r="S237" s="1523"/>
      <c r="T237" s="1523"/>
      <c r="U237" s="905"/>
      <c r="V237" s="1523"/>
      <c r="W237" s="1523"/>
      <c r="X237" s="1523"/>
      <c r="Y237" s="1523"/>
      <c r="Z237" s="1523"/>
      <c r="AA237" s="1998"/>
      <c r="AB237" s="927"/>
      <c r="AC237" s="927"/>
      <c r="AD237" s="927"/>
      <c r="AE237" s="927"/>
    </row>
    <row s="32338" customFormat="1" customHeight="1" ht="11.25">
      <c r="A238" s="1349"/>
      <c r="B238" s="2002"/>
      <c r="C238" s="2002"/>
      <c r="D238" s="712"/>
      <c r="K238" s="1523"/>
      <c r="L238" s="2002"/>
      <c r="M238" s="2002"/>
      <c r="N238" s="1523"/>
      <c r="O238" s="1523"/>
      <c r="P238" s="1523"/>
      <c r="Q238" s="1523"/>
      <c r="R238" s="2002"/>
      <c r="S238" s="1523"/>
      <c r="T238" s="1523"/>
      <c r="U238" s="905"/>
      <c r="V238" s="1523"/>
      <c r="W238" s="1523"/>
      <c r="X238" s="1523"/>
      <c r="Y238" s="1523"/>
      <c r="Z238" s="1523"/>
      <c r="AA238" s="1998"/>
      <c r="AB238" s="927"/>
      <c r="AC238" s="927"/>
      <c r="AD238" s="927"/>
      <c r="AE238" s="927"/>
    </row>
    <row s="32338" customFormat="1" customHeight="1" ht="11.25">
      <c r="A239" s="1349"/>
      <c r="B239" s="2002"/>
      <c r="C239" s="2002"/>
      <c r="D239" s="712"/>
      <c r="K239" s="1523"/>
      <c r="L239" s="2002"/>
      <c r="M239" s="2002"/>
      <c r="N239" s="1523"/>
      <c r="O239" s="1523"/>
      <c r="P239" s="1523"/>
      <c r="Q239" s="1523"/>
      <c r="R239" s="2002"/>
      <c r="S239" s="1523"/>
      <c r="T239" s="1523"/>
      <c r="U239" s="905"/>
      <c r="V239" s="1523"/>
      <c r="W239" s="1523"/>
      <c r="X239" s="1523"/>
      <c r="Y239" s="1523"/>
      <c r="Z239" s="1523"/>
      <c r="AA239" s="1998"/>
      <c r="AB239" s="927"/>
      <c r="AC239" s="927"/>
      <c r="AD239" s="927"/>
      <c r="AE239" s="927"/>
    </row>
    <row s="32338" customFormat="1" customHeight="1" ht="11.25">
      <c r="A240" s="1349"/>
      <c r="B240" s="2002"/>
      <c r="C240" s="2002"/>
      <c r="D240" s="712"/>
      <c r="K240" s="1523"/>
      <c r="L240" s="2002"/>
      <c r="M240" s="2002"/>
      <c r="N240" s="1523"/>
      <c r="O240" s="1523"/>
      <c r="P240" s="1523"/>
      <c r="Q240" s="1523"/>
      <c r="R240" s="2002"/>
      <c r="S240" s="1523"/>
      <c r="T240" s="1523"/>
      <c r="U240" s="905"/>
      <c r="V240" s="1523"/>
      <c r="W240" s="1523"/>
      <c r="X240" s="1523"/>
      <c r="Y240" s="1523"/>
      <c r="Z240" s="1523"/>
      <c r="AA240" s="1998"/>
      <c r="AB240" s="927"/>
      <c r="AC240" s="927"/>
      <c r="AD240" s="927"/>
      <c r="AE240" s="927"/>
    </row>
    <row s="32338" customFormat="1" customHeight="1" ht="11.25">
      <c r="A241" s="1349"/>
      <c r="B241" s="2002"/>
      <c r="C241" s="2002"/>
      <c r="D241" s="712"/>
      <c r="K241" s="1523"/>
      <c r="L241" s="2002"/>
      <c r="M241" s="2002"/>
      <c r="N241" s="1523"/>
      <c r="O241" s="1523"/>
      <c r="P241" s="1523"/>
      <c r="Q241" s="1523"/>
      <c r="R241" s="2002"/>
      <c r="S241" s="1523"/>
      <c r="T241" s="1523"/>
      <c r="U241" s="905"/>
      <c r="V241" s="1523"/>
      <c r="W241" s="1523"/>
      <c r="X241" s="1523"/>
      <c r="Y241" s="1523"/>
      <c r="Z241" s="1523"/>
      <c r="AA241" s="1998"/>
      <c r="AB241" s="927"/>
      <c r="AC241" s="927"/>
      <c r="AD241" s="927"/>
      <c r="AE241" s="927"/>
    </row>
    <row s="32338" customFormat="1" customHeight="1" ht="11.25">
      <c r="A242" s="1349"/>
      <c r="B242" s="2002"/>
      <c r="C242" s="2002"/>
      <c r="D242" s="712"/>
      <c r="K242" s="1523"/>
      <c r="L242" s="2002"/>
      <c r="M242" s="2002"/>
      <c r="N242" s="1523"/>
      <c r="O242" s="1523"/>
      <c r="P242" s="1523"/>
      <c r="Q242" s="1523"/>
      <c r="R242" s="2002"/>
      <c r="S242" s="1523"/>
      <c r="T242" s="1523"/>
      <c r="U242" s="905"/>
      <c r="V242" s="1523"/>
      <c r="W242" s="1523"/>
      <c r="X242" s="1523"/>
      <c r="Y242" s="1523"/>
      <c r="Z242" s="1523"/>
      <c r="AA242" s="1998"/>
      <c r="AB242" s="927"/>
      <c r="AC242" s="927"/>
      <c r="AD242" s="927"/>
      <c r="AE242" s="927"/>
    </row>
    <row s="32338" customFormat="1" customHeight="1" ht="11.25">
      <c r="A243" s="1349"/>
      <c r="B243" s="2002"/>
      <c r="C243" s="2002"/>
      <c r="D243" s="712"/>
      <c r="K243" s="1523"/>
      <c r="L243" s="2002"/>
      <c r="M243" s="2002"/>
      <c r="N243" s="1523"/>
      <c r="O243" s="1523"/>
      <c r="P243" s="1523"/>
      <c r="Q243" s="1523"/>
      <c r="R243" s="2002"/>
      <c r="S243" s="1523"/>
      <c r="T243" s="1523"/>
      <c r="U243" s="905"/>
      <c r="V243" s="1523"/>
      <c r="W243" s="1523"/>
      <c r="X243" s="1523"/>
      <c r="Y243" s="1523"/>
      <c r="Z243" s="1523"/>
      <c r="AA243" s="1998"/>
      <c r="AB243" s="927"/>
      <c r="AC243" s="927"/>
      <c r="AD243" s="927"/>
      <c r="AE243" s="927"/>
    </row>
    <row s="32338" customFormat="1" customHeight="1" ht="11.25">
      <c r="A244" s="1349"/>
      <c r="B244" s="2002"/>
      <c r="C244" s="2002"/>
      <c r="D244" s="712"/>
      <c r="K244" s="1523"/>
      <c r="L244" s="2002"/>
      <c r="M244" s="2002"/>
      <c r="N244" s="1523"/>
      <c r="O244" s="1523"/>
      <c r="P244" s="1523"/>
      <c r="Q244" s="1523"/>
      <c r="R244" s="2002"/>
      <c r="S244" s="1523"/>
      <c r="T244" s="1523"/>
      <c r="U244" s="905"/>
      <c r="V244" s="1523"/>
      <c r="W244" s="1523"/>
      <c r="X244" s="1523"/>
      <c r="Y244" s="1523"/>
      <c r="Z244" s="1523"/>
      <c r="AA244" s="1998"/>
      <c r="AB244" s="927"/>
      <c r="AC244" s="927"/>
      <c r="AD244" s="927"/>
      <c r="AE244" s="927"/>
    </row>
    <row s="32338" customFormat="1" customHeight="1" ht="11.25">
      <c r="A245" s="1349"/>
      <c r="B245" s="2002"/>
      <c r="C245" s="2002"/>
      <c r="D245" s="712"/>
      <c r="K245" s="1523"/>
      <c r="L245" s="2002"/>
      <c r="M245" s="2002"/>
      <c r="N245" s="1523"/>
      <c r="O245" s="1523"/>
      <c r="P245" s="1523"/>
      <c r="Q245" s="1523"/>
      <c r="R245" s="2002"/>
      <c r="S245" s="1523"/>
      <c r="T245" s="1523"/>
      <c r="U245" s="905"/>
      <c r="V245" s="1523"/>
      <c r="W245" s="1523"/>
      <c r="X245" s="1523"/>
      <c r="Y245" s="1523"/>
      <c r="Z245" s="1523"/>
      <c r="AA245" s="1998"/>
      <c r="AB245" s="927"/>
      <c r="AC245" s="927"/>
      <c r="AD245" s="927"/>
      <c r="AE245" s="927"/>
    </row>
    <row s="32338" customFormat="1" customHeight="1" ht="11.25">
      <c r="A246" s="1349"/>
      <c r="B246" s="2002"/>
      <c r="C246" s="2002"/>
      <c r="D246" s="712"/>
      <c r="K246" s="1523"/>
      <c r="L246" s="2002"/>
      <c r="M246" s="2002"/>
      <c r="N246" s="1523"/>
      <c r="O246" s="1523"/>
      <c r="P246" s="1523"/>
      <c r="Q246" s="1523"/>
      <c r="R246" s="2002"/>
      <c r="S246" s="1523"/>
      <c r="T246" s="1523"/>
      <c r="U246" s="905"/>
      <c r="V246" s="1523"/>
      <c r="W246" s="1523"/>
      <c r="X246" s="1523"/>
      <c r="Y246" s="1523"/>
      <c r="Z246" s="1523"/>
      <c r="AA246" s="1998"/>
      <c r="AB246" s="927"/>
      <c r="AC246" s="927"/>
      <c r="AD246" s="927"/>
      <c r="AE246" s="927"/>
    </row>
    <row s="32338" customFormat="1" customHeight="1" ht="11.25">
      <c r="A247" s="1349"/>
      <c r="B247" s="2002"/>
      <c r="C247" s="2002"/>
      <c r="D247" s="712"/>
      <c r="K247" s="1523"/>
      <c r="L247" s="2002"/>
      <c r="M247" s="2002"/>
      <c r="N247" s="1523"/>
      <c r="O247" s="1523"/>
      <c r="P247" s="1523"/>
      <c r="Q247" s="1523"/>
      <c r="R247" s="2002"/>
      <c r="S247" s="1523"/>
      <c r="T247" s="1523"/>
      <c r="U247" s="905"/>
      <c r="V247" s="1523"/>
      <c r="W247" s="1523"/>
      <c r="X247" s="1523"/>
      <c r="Y247" s="1523"/>
      <c r="Z247" s="1523"/>
      <c r="AA247" s="1998"/>
      <c r="AB247" s="927"/>
      <c r="AC247" s="927"/>
      <c r="AD247" s="927"/>
      <c r="AE247" s="927"/>
    </row>
    <row s="32338" customFormat="1" customHeight="1" ht="11.25">
      <c r="A248" s="1349"/>
      <c r="B248" s="2002"/>
      <c r="C248" s="2002"/>
      <c r="D248" s="712"/>
      <c r="K248" s="1523"/>
      <c r="L248" s="2002"/>
      <c r="M248" s="2002"/>
      <c r="N248" s="1523"/>
      <c r="O248" s="1523"/>
      <c r="P248" s="1523"/>
      <c r="Q248" s="1523"/>
      <c r="R248" s="2002"/>
      <c r="S248" s="1523"/>
      <c r="T248" s="1523"/>
      <c r="U248" s="905"/>
      <c r="V248" s="1523"/>
      <c r="W248" s="1523"/>
      <c r="X248" s="1523"/>
      <c r="Y248" s="1523"/>
      <c r="Z248" s="1523"/>
      <c r="AA248" s="1998"/>
      <c r="AB248" s="927"/>
      <c r="AC248" s="927"/>
      <c r="AD248" s="927"/>
      <c r="AE248" s="927"/>
    </row>
    <row s="32338" customFormat="1" customHeight="1" ht="11.25">
      <c r="A249" s="1349"/>
      <c r="B249" s="2002"/>
      <c r="C249" s="2002"/>
      <c r="D249" s="712"/>
      <c r="K249" s="1523"/>
      <c r="L249" s="2002"/>
      <c r="M249" s="2002"/>
      <c r="N249" s="1523"/>
      <c r="O249" s="1523"/>
      <c r="P249" s="1523"/>
      <c r="Q249" s="1523"/>
      <c r="R249" s="2002"/>
      <c r="S249" s="1523"/>
      <c r="T249" s="1523"/>
      <c r="U249" s="905"/>
      <c r="V249" s="1523"/>
      <c r="W249" s="1523"/>
      <c r="X249" s="1523"/>
      <c r="Y249" s="1523"/>
      <c r="Z249" s="1523"/>
      <c r="AA249" s="1998"/>
      <c r="AB249" s="927"/>
      <c r="AC249" s="927"/>
      <c r="AD249" s="927"/>
      <c r="AE249" s="927"/>
    </row>
    <row s="32338" customFormat="1" customHeight="1" ht="11.25">
      <c r="A250" s="1349"/>
      <c r="B250" s="2002"/>
      <c r="C250" s="2002"/>
      <c r="D250" s="712"/>
      <c r="K250" s="1523"/>
      <c r="L250" s="2002"/>
      <c r="M250" s="2002"/>
      <c r="N250" s="1523"/>
      <c r="O250" s="1523"/>
      <c r="P250" s="1523"/>
      <c r="Q250" s="1523"/>
      <c r="R250" s="2002"/>
      <c r="S250" s="1523"/>
      <c r="T250" s="1523"/>
      <c r="U250" s="905"/>
      <c r="V250" s="1523"/>
      <c r="W250" s="1523"/>
      <c r="X250" s="1523"/>
      <c r="Y250" s="1523"/>
      <c r="Z250" s="1523"/>
      <c r="AA250" s="1998"/>
      <c r="AB250" s="927"/>
      <c r="AC250" s="927"/>
      <c r="AD250" s="927"/>
      <c r="AE250" s="927"/>
    </row>
    <row s="32338" customFormat="1" customHeight="1" ht="11.25">
      <c r="A251" s="1349"/>
      <c r="B251" s="2002"/>
      <c r="C251" s="2002"/>
      <c r="D251" s="712"/>
      <c r="K251" s="1523"/>
      <c r="L251" s="2002"/>
      <c r="M251" s="2002"/>
      <c r="N251" s="1523"/>
      <c r="O251" s="1523"/>
      <c r="P251" s="1523"/>
      <c r="Q251" s="1523"/>
      <c r="R251" s="2002"/>
      <c r="S251" s="1523"/>
      <c r="T251" s="1523"/>
      <c r="U251" s="905"/>
      <c r="V251" s="1523"/>
      <c r="W251" s="1523"/>
      <c r="X251" s="1523"/>
      <c r="Y251" s="1523"/>
      <c r="Z251" s="1523"/>
      <c r="AA251" s="1998"/>
      <c r="AB251" s="927"/>
      <c r="AC251" s="927"/>
      <c r="AD251" s="927"/>
      <c r="AE251" s="927"/>
    </row>
    <row s="32338" customFormat="1" customHeight="1" ht="11.25">
      <c r="A252" s="1349"/>
      <c r="B252" s="2002"/>
      <c r="C252" s="2002"/>
      <c r="D252" s="712"/>
      <c r="K252" s="1523"/>
      <c r="L252" s="2002"/>
      <c r="M252" s="2002"/>
      <c r="N252" s="1523"/>
      <c r="O252" s="1523"/>
      <c r="P252" s="1523"/>
      <c r="Q252" s="1523"/>
      <c r="R252" s="2002"/>
      <c r="S252" s="1523"/>
      <c r="T252" s="1523"/>
      <c r="U252" s="905"/>
      <c r="V252" s="1523"/>
      <c r="W252" s="1523"/>
      <c r="X252" s="1523"/>
      <c r="Y252" s="1523"/>
      <c r="Z252" s="1523"/>
      <c r="AA252" s="1998"/>
      <c r="AB252" s="927"/>
      <c r="AC252" s="927"/>
      <c r="AD252" s="927"/>
      <c r="AE252" s="927"/>
    </row>
    <row s="32338" customFormat="1" customHeight="1" ht="11.25">
      <c r="A253" s="1349"/>
      <c r="B253" s="2002"/>
      <c r="C253" s="2002"/>
      <c r="D253" s="712"/>
      <c r="K253" s="1523"/>
      <c r="L253" s="2002"/>
      <c r="M253" s="2002"/>
      <c r="N253" s="1523"/>
      <c r="O253" s="1523"/>
      <c r="P253" s="1523"/>
      <c r="Q253" s="1523"/>
      <c r="R253" s="2002"/>
      <c r="S253" s="1523"/>
      <c r="T253" s="1523"/>
      <c r="U253" s="905"/>
      <c r="V253" s="1523"/>
      <c r="W253" s="1523"/>
      <c r="X253" s="1523"/>
      <c r="Y253" s="1523"/>
      <c r="Z253" s="1523"/>
      <c r="AA253" s="1998"/>
      <c r="AB253" s="927"/>
      <c r="AC253" s="927"/>
      <c r="AD253" s="927"/>
      <c r="AE253" s="927"/>
    </row>
    <row s="32338" customFormat="1" customHeight="1" ht="11.25">
      <c r="A254" s="1349"/>
      <c r="B254" s="2002"/>
      <c r="C254" s="2002"/>
      <c r="D254" s="712"/>
      <c r="K254" s="1523"/>
      <c r="L254" s="2002"/>
      <c r="M254" s="2002"/>
      <c r="N254" s="1523"/>
      <c r="O254" s="1523"/>
      <c r="P254" s="1523"/>
      <c r="Q254" s="1523"/>
      <c r="R254" s="2002"/>
      <c r="S254" s="1523"/>
      <c r="T254" s="1523"/>
      <c r="U254" s="905"/>
      <c r="V254" s="1523"/>
      <c r="W254" s="1523"/>
      <c r="X254" s="1523"/>
      <c r="Y254" s="1523"/>
      <c r="Z254" s="1523"/>
      <c r="AA254" s="1998"/>
      <c r="AB254" s="927"/>
      <c r="AC254" s="927"/>
      <c r="AD254" s="927"/>
      <c r="AE254" s="927"/>
    </row>
    <row s="32338" customFormat="1" customHeight="1" ht="11.25">
      <c r="A255" s="1349"/>
      <c r="B255" s="2002"/>
      <c r="C255" s="2002"/>
      <c r="D255" s="712"/>
      <c r="K255" s="1523"/>
      <c r="L255" s="2002"/>
      <c r="M255" s="2002"/>
      <c r="N255" s="1523"/>
      <c r="O255" s="1523"/>
      <c r="P255" s="1523"/>
      <c r="Q255" s="1523"/>
      <c r="R255" s="2002"/>
      <c r="S255" s="1523"/>
      <c r="T255" s="1523"/>
      <c r="U255" s="905"/>
      <c r="V255" s="1523"/>
      <c r="W255" s="1523"/>
      <c r="X255" s="1523"/>
      <c r="Y255" s="1523"/>
      <c r="Z255" s="1523"/>
      <c r="AA255" s="1998"/>
      <c r="AB255" s="927"/>
      <c r="AC255" s="927"/>
      <c r="AD255" s="927"/>
      <c r="AE255" s="927"/>
    </row>
    <row s="32338" customFormat="1" customHeight="1" ht="11.25">
      <c r="A256" s="1349"/>
      <c r="B256" s="2002"/>
      <c r="C256" s="2002"/>
      <c r="D256" s="712"/>
      <c r="K256" s="1523"/>
      <c r="L256" s="2002"/>
      <c r="M256" s="2002"/>
      <c r="N256" s="1523"/>
      <c r="O256" s="1523"/>
      <c r="P256" s="1523"/>
      <c r="Q256" s="1523"/>
      <c r="R256" s="2002"/>
      <c r="S256" s="1523"/>
      <c r="T256" s="1523"/>
      <c r="U256" s="905"/>
      <c r="V256" s="1523"/>
      <c r="W256" s="1523"/>
      <c r="X256" s="1523"/>
      <c r="Y256" s="1523"/>
      <c r="Z256" s="1523"/>
      <c r="AA256" s="1998"/>
      <c r="AB256" s="927"/>
      <c r="AC256" s="927"/>
      <c r="AD256" s="927"/>
      <c r="AE256" s="927"/>
    </row>
    <row s="32338" customFormat="1" customHeight="1" ht="11.25">
      <c r="A257" s="1349"/>
      <c r="B257" s="2002"/>
      <c r="C257" s="2002"/>
      <c r="D257" s="712"/>
      <c r="K257" s="1523"/>
      <c r="L257" s="2002"/>
      <c r="M257" s="2002"/>
      <c r="N257" s="1523"/>
      <c r="O257" s="1523"/>
      <c r="P257" s="1523"/>
      <c r="Q257" s="1523"/>
      <c r="R257" s="2002"/>
      <c r="S257" s="1523"/>
      <c r="T257" s="1523"/>
      <c r="U257" s="905"/>
      <c r="V257" s="1523"/>
      <c r="W257" s="1523"/>
      <c r="X257" s="1523"/>
      <c r="Y257" s="1523"/>
      <c r="Z257" s="1523"/>
      <c r="AA257" s="1998"/>
      <c r="AB257" s="927"/>
      <c r="AC257" s="927"/>
      <c r="AD257" s="927"/>
      <c r="AE257" s="927"/>
    </row>
    <row s="32338" customFormat="1" customHeight="1" ht="11.25">
      <c r="A258" s="1349"/>
      <c r="B258" s="2002"/>
      <c r="C258" s="2002"/>
      <c r="D258" s="712"/>
      <c r="K258" s="1523"/>
      <c r="L258" s="2002"/>
      <c r="M258" s="2002"/>
      <c r="N258" s="1523"/>
      <c r="O258" s="1523"/>
      <c r="P258" s="1523"/>
      <c r="Q258" s="1523"/>
      <c r="R258" s="2002"/>
      <c r="S258" s="1523"/>
      <c r="T258" s="1523"/>
      <c r="U258" s="905"/>
      <c r="V258" s="1523"/>
      <c r="W258" s="1523"/>
      <c r="X258" s="1523"/>
      <c r="Y258" s="1523"/>
      <c r="Z258" s="1523"/>
      <c r="AA258" s="1998"/>
      <c r="AB258" s="927"/>
      <c r="AC258" s="927"/>
      <c r="AD258" s="927"/>
      <c r="AE258" s="927"/>
    </row>
    <row s="32338" customFormat="1" customHeight="1" ht="11.25">
      <c r="A259" s="1349"/>
      <c r="B259" s="2002"/>
      <c r="C259" s="2002"/>
      <c r="D259" s="712"/>
      <c r="K259" s="1523"/>
      <c r="L259" s="2002"/>
      <c r="M259" s="2002"/>
      <c r="N259" s="1523"/>
      <c r="O259" s="1523"/>
      <c r="P259" s="1523"/>
      <c r="Q259" s="1523"/>
      <c r="R259" s="2002"/>
      <c r="S259" s="1523"/>
      <c r="T259" s="1523"/>
      <c r="U259" s="905"/>
      <c r="V259" s="1523"/>
      <c r="W259" s="1523"/>
      <c r="X259" s="1523"/>
      <c r="Y259" s="1523"/>
      <c r="Z259" s="1523"/>
      <c r="AA259" s="1998"/>
      <c r="AB259" s="927"/>
      <c r="AC259" s="927"/>
      <c r="AD259" s="927"/>
      <c r="AE259" s="927"/>
    </row>
    <row s="32338" customFormat="1" customHeight="1" ht="11.25">
      <c r="A260" s="1349"/>
      <c r="B260" s="2002"/>
      <c r="C260" s="2002"/>
      <c r="D260" s="712"/>
      <c r="K260" s="1523"/>
      <c r="L260" s="2002"/>
      <c r="M260" s="2002"/>
      <c r="N260" s="1523"/>
      <c r="O260" s="1523"/>
      <c r="P260" s="1523"/>
      <c r="Q260" s="1523"/>
      <c r="R260" s="2002"/>
      <c r="S260" s="1523"/>
      <c r="T260" s="1523"/>
      <c r="U260" s="905"/>
      <c r="V260" s="1523"/>
      <c r="W260" s="1523"/>
      <c r="X260" s="1523"/>
      <c r="Y260" s="1523"/>
      <c r="Z260" s="1523"/>
      <c r="AA260" s="1998"/>
      <c r="AB260" s="927"/>
      <c r="AC260" s="927"/>
      <c r="AD260" s="927"/>
      <c r="AE260" s="927"/>
    </row>
    <row s="32338" customFormat="1" customHeight="1" ht="11.25">
      <c r="A261" s="1349"/>
      <c r="B261" s="2002"/>
      <c r="C261" s="2002"/>
      <c r="D261" s="712"/>
      <c r="K261" s="1523"/>
      <c r="L261" s="2002"/>
      <c r="M261" s="2002"/>
      <c r="N261" s="1523"/>
      <c r="O261" s="1523"/>
      <c r="P261" s="1523"/>
      <c r="Q261" s="1523"/>
      <c r="R261" s="2002"/>
      <c r="S261" s="1523"/>
      <c r="T261" s="1523"/>
      <c r="U261" s="905"/>
      <c r="V261" s="1523"/>
      <c r="W261" s="1523"/>
      <c r="X261" s="1523"/>
      <c r="Y261" s="1523"/>
      <c r="Z261" s="1523"/>
      <c r="AA261" s="1998"/>
      <c r="AB261" s="927"/>
      <c r="AC261" s="927"/>
      <c r="AD261" s="927"/>
      <c r="AE261" s="927"/>
    </row>
    <row s="32338" customFormat="1" customHeight="1" ht="11.25">
      <c r="A262" s="1349"/>
      <c r="B262" s="2002"/>
      <c r="C262" s="2002"/>
      <c r="D262" s="712"/>
      <c r="K262" s="1523"/>
      <c r="L262" s="2002"/>
      <c r="M262" s="2002"/>
      <c r="N262" s="1523"/>
      <c r="O262" s="1523"/>
      <c r="P262" s="1523"/>
      <c r="Q262" s="1523"/>
      <c r="R262" s="2002"/>
      <c r="S262" s="1523"/>
      <c r="T262" s="1523"/>
      <c r="U262" s="905"/>
      <c r="V262" s="1523"/>
      <c r="W262" s="1523"/>
      <c r="X262" s="1523"/>
      <c r="Y262" s="1523"/>
      <c r="Z262" s="1523"/>
      <c r="AA262" s="1998"/>
      <c r="AB262" s="927"/>
      <c r="AC262" s="927"/>
      <c r="AD262" s="927"/>
      <c r="AE262" s="927"/>
    </row>
    <row s="32338" customFormat="1" customHeight="1" ht="11.25">
      <c r="A263" s="1349"/>
      <c r="B263" s="2002"/>
      <c r="C263" s="2002"/>
      <c r="D263" s="712"/>
      <c r="K263" s="1523"/>
      <c r="L263" s="2002"/>
      <c r="M263" s="2002"/>
      <c r="N263" s="1523"/>
      <c r="O263" s="1523"/>
      <c r="P263" s="1523"/>
      <c r="Q263" s="1523"/>
      <c r="R263" s="2002"/>
      <c r="S263" s="1523"/>
      <c r="T263" s="1523"/>
      <c r="U263" s="905"/>
      <c r="V263" s="1523"/>
      <c r="W263" s="1523"/>
      <c r="X263" s="1523"/>
      <c r="Y263" s="1523"/>
      <c r="Z263" s="1523"/>
      <c r="AA263" s="1998"/>
      <c r="AB263" s="927"/>
      <c r="AC263" s="927"/>
      <c r="AD263" s="927"/>
      <c r="AE263" s="927"/>
    </row>
    <row s="32338" customFormat="1" customHeight="1" ht="11.25">
      <c r="A264" s="1349"/>
      <c r="B264" s="2002"/>
      <c r="C264" s="2002"/>
      <c r="D264" s="712"/>
      <c r="K264" s="1523"/>
      <c r="L264" s="2002"/>
      <c r="M264" s="2002"/>
      <c r="N264" s="1523"/>
      <c r="O264" s="1523"/>
      <c r="P264" s="1523"/>
      <c r="Q264" s="1523"/>
      <c r="R264" s="2002"/>
      <c r="S264" s="1523"/>
      <c r="T264" s="1523"/>
      <c r="U264" s="905"/>
      <c r="V264" s="1523"/>
      <c r="W264" s="1523"/>
      <c r="X264" s="1523"/>
      <c r="Y264" s="1523"/>
      <c r="Z264" s="1523"/>
      <c r="AA264" s="1998"/>
      <c r="AB264" s="927"/>
      <c r="AC264" s="927"/>
      <c r="AD264" s="927"/>
      <c r="AE264" s="927"/>
    </row>
    <row s="32338" customFormat="1" customHeight="1" ht="11.25">
      <c r="A265" s="1349"/>
      <c r="B265" s="2002"/>
      <c r="C265" s="2002"/>
      <c r="D265" s="712"/>
      <c r="K265" s="1523"/>
      <c r="L265" s="2002"/>
      <c r="M265" s="2002"/>
      <c r="N265" s="1523"/>
      <c r="O265" s="1523"/>
      <c r="P265" s="1523"/>
      <c r="Q265" s="1523"/>
      <c r="R265" s="2002"/>
      <c r="S265" s="1523"/>
      <c r="T265" s="1523"/>
      <c r="U265" s="905"/>
      <c r="V265" s="1523"/>
      <c r="W265" s="1523"/>
      <c r="X265" s="1523"/>
      <c r="Y265" s="1523"/>
      <c r="Z265" s="1523"/>
      <c r="AA265" s="1998"/>
      <c r="AB265" s="927"/>
      <c r="AC265" s="927"/>
      <c r="AD265" s="927"/>
      <c r="AE265" s="927"/>
    </row>
    <row s="32338" customFormat="1" customHeight="1" ht="11.25">
      <c r="A266" s="1349"/>
      <c r="B266" s="2002"/>
      <c r="C266" s="2002"/>
      <c r="D266" s="712"/>
      <c r="K266" s="1523"/>
      <c r="L266" s="2002"/>
      <c r="M266" s="2002"/>
      <c r="N266" s="1523"/>
      <c r="O266" s="1523"/>
      <c r="P266" s="1523"/>
      <c r="Q266" s="1523"/>
      <c r="R266" s="2002"/>
      <c r="S266" s="1523"/>
      <c r="T266" s="1523"/>
      <c r="U266" s="905"/>
      <c r="V266" s="1523"/>
      <c r="W266" s="1523"/>
      <c r="X266" s="1523"/>
      <c r="Y266" s="1523"/>
      <c r="Z266" s="1523"/>
      <c r="AA266" s="1998"/>
      <c r="AB266" s="927"/>
      <c r="AC266" s="927"/>
      <c r="AD266" s="927"/>
      <c r="AE266" s="927"/>
    </row>
    <row s="32338" customFormat="1" customHeight="1" ht="11.25">
      <c r="A267" s="1349"/>
      <c r="B267" s="2002"/>
      <c r="C267" s="2002"/>
      <c r="D267" s="712"/>
      <c r="K267" s="1523"/>
      <c r="L267" s="2002"/>
      <c r="M267" s="2002"/>
      <c r="N267" s="1523"/>
      <c r="O267" s="1523"/>
      <c r="P267" s="1523"/>
      <c r="Q267" s="1523"/>
      <c r="R267" s="2002"/>
      <c r="S267" s="1523"/>
      <c r="T267" s="1523"/>
      <c r="U267" s="905"/>
      <c r="V267" s="1523"/>
      <c r="W267" s="1523"/>
      <c r="X267" s="1523"/>
      <c r="Y267" s="1523"/>
      <c r="Z267" s="1523"/>
      <c r="AA267" s="1998"/>
      <c r="AB267" s="927"/>
      <c r="AC267" s="927"/>
      <c r="AD267" s="927"/>
      <c r="AE267" s="927"/>
    </row>
    <row s="32338" customFormat="1" customHeight="1" ht="11.25">
      <c r="A268" s="1349"/>
      <c r="B268" s="2002"/>
      <c r="C268" s="2002"/>
      <c r="D268" s="712"/>
      <c r="K268" s="1523"/>
      <c r="L268" s="2002"/>
      <c r="M268" s="2002"/>
      <c r="N268" s="1523"/>
      <c r="O268" s="1523"/>
      <c r="P268" s="1523"/>
      <c r="Q268" s="1523"/>
      <c r="R268" s="2002"/>
      <c r="S268" s="1523"/>
      <c r="T268" s="1523"/>
      <c r="U268" s="905"/>
      <c r="V268" s="1523"/>
      <c r="W268" s="1523"/>
      <c r="X268" s="1523"/>
      <c r="Y268" s="1523"/>
      <c r="Z268" s="1523"/>
      <c r="AA268" s="1998"/>
      <c r="AB268" s="927"/>
      <c r="AC268" s="927"/>
      <c r="AD268" s="927"/>
      <c r="AE268" s="927"/>
    </row>
    <row s="32338" customFormat="1" customHeight="1" ht="11.25">
      <c r="A269" s="1349"/>
      <c r="B269" s="2002"/>
      <c r="C269" s="2002"/>
      <c r="D269" s="712"/>
      <c r="K269" s="1523"/>
      <c r="L269" s="2002"/>
      <c r="M269" s="2002"/>
      <c r="N269" s="1523"/>
      <c r="O269" s="1523"/>
      <c r="P269" s="1523"/>
      <c r="Q269" s="1523"/>
      <c r="R269" s="2002"/>
      <c r="S269" s="1523"/>
      <c r="T269" s="1523"/>
      <c r="U269" s="905"/>
      <c r="V269" s="1523"/>
      <c r="W269" s="1523"/>
      <c r="X269" s="1523"/>
      <c r="Y269" s="1523"/>
      <c r="Z269" s="1523"/>
      <c r="AA269" s="1998"/>
      <c r="AB269" s="927"/>
      <c r="AC269" s="927"/>
      <c r="AD269" s="927"/>
      <c r="AE269" s="927"/>
    </row>
    <row s="32338" customFormat="1" customHeight="1" ht="11.25">
      <c r="A270" s="1349"/>
      <c r="B270" s="2002"/>
      <c r="C270" s="2002"/>
      <c r="D270" s="712"/>
      <c r="K270" s="1523"/>
      <c r="L270" s="2002"/>
      <c r="M270" s="2002"/>
      <c r="N270" s="1523"/>
      <c r="O270" s="1523"/>
      <c r="P270" s="1523"/>
      <c r="Q270" s="1523"/>
      <c r="R270" s="2002"/>
      <c r="S270" s="1523"/>
      <c r="T270" s="1523"/>
      <c r="U270" s="905"/>
      <c r="V270" s="1523"/>
      <c r="W270" s="1523"/>
      <c r="X270" s="1523"/>
      <c r="Y270" s="1523"/>
      <c r="Z270" s="1523"/>
      <c r="AA270" s="1998"/>
      <c r="AB270" s="927"/>
      <c r="AC270" s="927"/>
      <c r="AD270" s="927"/>
      <c r="AE270" s="927"/>
    </row>
    <row s="32338" customFormat="1" customHeight="1" ht="11.25">
      <c r="A271" s="1349"/>
      <c r="B271" s="2002"/>
      <c r="C271" s="2002"/>
      <c r="D271" s="712"/>
      <c r="K271" s="1523"/>
      <c r="L271" s="2002"/>
      <c r="M271" s="2002"/>
      <c r="N271" s="1523"/>
      <c r="O271" s="1523"/>
      <c r="P271" s="1523"/>
      <c r="Q271" s="1523"/>
      <c r="R271" s="2002"/>
      <c r="S271" s="1523"/>
      <c r="T271" s="1523"/>
      <c r="U271" s="905"/>
      <c r="V271" s="1523"/>
      <c r="W271" s="1523"/>
      <c r="X271" s="1523"/>
      <c r="Y271" s="1523"/>
      <c r="Z271" s="1523"/>
      <c r="AA271" s="1998"/>
      <c r="AB271" s="927"/>
      <c r="AC271" s="927"/>
      <c r="AD271" s="927"/>
      <c r="AE271" s="927"/>
    </row>
    <row s="32338" customFormat="1" customHeight="1" ht="11.25">
      <c r="A272" s="1349"/>
      <c r="B272" s="2002"/>
      <c r="C272" s="2002"/>
      <c r="D272" s="712"/>
      <c r="K272" s="1523"/>
      <c r="L272" s="2002"/>
      <c r="M272" s="2002"/>
      <c r="N272" s="1523"/>
      <c r="O272" s="1523"/>
      <c r="P272" s="1523"/>
      <c r="Q272" s="1523"/>
      <c r="R272" s="2002"/>
      <c r="S272" s="1523"/>
      <c r="T272" s="1523"/>
      <c r="U272" s="905"/>
      <c r="V272" s="1523"/>
      <c r="W272" s="1523"/>
      <c r="X272" s="1523"/>
      <c r="Y272" s="1523"/>
      <c r="Z272" s="1523"/>
      <c r="AA272" s="1998"/>
      <c r="AB272" s="927"/>
      <c r="AC272" s="927"/>
      <c r="AD272" s="927"/>
      <c r="AE272" s="927"/>
    </row>
    <row s="32338" customFormat="1" customHeight="1" ht="11.25">
      <c r="A273" s="1349"/>
      <c r="B273" s="2002"/>
      <c r="C273" s="2002"/>
      <c r="D273" s="712"/>
      <c r="K273" s="1523"/>
      <c r="L273" s="2002"/>
      <c r="M273" s="2002"/>
      <c r="N273" s="1523"/>
      <c r="O273" s="1523"/>
      <c r="P273" s="1523"/>
      <c r="Q273" s="1523"/>
      <c r="R273" s="2002"/>
      <c r="S273" s="1523"/>
      <c r="T273" s="1523"/>
      <c r="U273" s="905"/>
      <c r="V273" s="1523"/>
      <c r="W273" s="1523"/>
      <c r="X273" s="1523"/>
      <c r="Y273" s="1523"/>
      <c r="Z273" s="1523"/>
      <c r="AA273" s="1998"/>
      <c r="AB273" s="927"/>
      <c r="AC273" s="927"/>
      <c r="AD273" s="927"/>
      <c r="AE273" s="927"/>
    </row>
    <row s="32338" customFormat="1" customHeight="1" ht="11.25">
      <c r="A274" s="1349"/>
      <c r="B274" s="2002"/>
      <c r="C274" s="2002"/>
      <c r="D274" s="712"/>
      <c r="K274" s="1523"/>
      <c r="L274" s="2002"/>
      <c r="M274" s="2002"/>
      <c r="N274" s="1523"/>
      <c r="O274" s="1523"/>
      <c r="P274" s="1523"/>
      <c r="Q274" s="1523"/>
      <c r="R274" s="2002"/>
      <c r="S274" s="1523"/>
      <c r="T274" s="1523"/>
      <c r="U274" s="905"/>
      <c r="V274" s="1523"/>
      <c r="W274" s="1523"/>
      <c r="X274" s="1523"/>
      <c r="Y274" s="1523"/>
      <c r="Z274" s="1523"/>
      <c r="AA274" s="1998"/>
      <c r="AB274" s="927"/>
      <c r="AC274" s="927"/>
      <c r="AD274" s="927"/>
      <c r="AE274" s="927"/>
    </row>
    <row s="32338" customFormat="1" customHeight="1" ht="11.25">
      <c r="A275" s="1349"/>
      <c r="B275" s="2002"/>
      <c r="C275" s="2002"/>
      <c r="D275" s="712"/>
      <c r="K275" s="1523"/>
      <c r="L275" s="2002"/>
      <c r="M275" s="2002"/>
      <c r="N275" s="1523"/>
      <c r="O275" s="1523"/>
      <c r="P275" s="1523"/>
      <c r="Q275" s="1523"/>
      <c r="R275" s="2002"/>
      <c r="S275" s="1523"/>
      <c r="T275" s="1523"/>
      <c r="U275" s="905"/>
      <c r="V275" s="1523"/>
      <c r="W275" s="1523"/>
      <c r="X275" s="1523"/>
      <c r="Y275" s="1523"/>
      <c r="Z275" s="1523"/>
      <c r="AA275" s="1998"/>
      <c r="AB275" s="927"/>
      <c r="AC275" s="927"/>
      <c r="AD275" s="927"/>
      <c r="AE275" s="927"/>
    </row>
    <row s="32338" customFormat="1" customHeight="1" ht="11.25">
      <c r="A276" s="1349"/>
      <c r="B276" s="2002"/>
      <c r="C276" s="2002"/>
      <c r="D276" s="712"/>
      <c r="K276" s="1523"/>
      <c r="L276" s="2002"/>
      <c r="M276" s="2002"/>
      <c r="N276" s="1523"/>
      <c r="O276" s="1523"/>
      <c r="P276" s="1523"/>
      <c r="Q276" s="1523"/>
      <c r="R276" s="2002"/>
      <c r="S276" s="1523"/>
      <c r="T276" s="1523"/>
      <c r="U276" s="905"/>
      <c r="V276" s="1523"/>
      <c r="W276" s="1523"/>
      <c r="X276" s="1523"/>
      <c r="Y276" s="1523"/>
      <c r="Z276" s="1523"/>
      <c r="AA276" s="1998"/>
      <c r="AB276" s="927"/>
      <c r="AC276" s="927"/>
      <c r="AD276" s="927"/>
      <c r="AE276" s="927"/>
    </row>
    <row s="32338" customFormat="1" customHeight="1" ht="11.25">
      <c r="A277" s="1349"/>
      <c r="B277" s="2002"/>
      <c r="C277" s="2002"/>
      <c r="D277" s="712"/>
      <c r="K277" s="1523"/>
      <c r="L277" s="2002"/>
      <c r="M277" s="2002"/>
      <c r="N277" s="1523"/>
      <c r="O277" s="1523"/>
      <c r="P277" s="1523"/>
      <c r="Q277" s="1523"/>
      <c r="R277" s="2002"/>
      <c r="S277" s="1523"/>
      <c r="T277" s="1523"/>
      <c r="U277" s="905"/>
      <c r="V277" s="1523"/>
      <c r="W277" s="1523"/>
      <c r="X277" s="1523"/>
      <c r="Y277" s="1523"/>
      <c r="Z277" s="1523"/>
      <c r="AA277" s="1998"/>
      <c r="AB277" s="927"/>
      <c r="AC277" s="927"/>
      <c r="AD277" s="927"/>
      <c r="AE277" s="927"/>
    </row>
    <row s="32338" customFormat="1" customHeight="1" ht="11.25">
      <c r="A278" s="1349"/>
      <c r="B278" s="2002"/>
      <c r="C278" s="2002"/>
      <c r="D278" s="712"/>
      <c r="K278" s="1523"/>
      <c r="L278" s="2002"/>
      <c r="M278" s="2002"/>
      <c r="N278" s="1523"/>
      <c r="O278" s="1523"/>
      <c r="P278" s="1523"/>
      <c r="Q278" s="1523"/>
      <c r="R278" s="2002"/>
      <c r="S278" s="1523"/>
      <c r="T278" s="1523"/>
      <c r="U278" s="905"/>
      <c r="V278" s="1523"/>
      <c r="W278" s="1523"/>
      <c r="X278" s="1523"/>
      <c r="Y278" s="1523"/>
      <c r="Z278" s="1523"/>
      <c r="AA278" s="1998"/>
      <c r="AB278" s="927"/>
      <c r="AC278" s="927"/>
      <c r="AD278" s="927"/>
      <c r="AE278" s="927"/>
    </row>
    <row s="32338" customFormat="1" customHeight="1" ht="11.25">
      <c r="A279" s="1349"/>
      <c r="B279" s="2002"/>
      <c r="C279" s="2002"/>
      <c r="D279" s="712"/>
      <c r="K279" s="1523"/>
      <c r="L279" s="2002"/>
      <c r="M279" s="2002"/>
      <c r="N279" s="1523"/>
      <c r="O279" s="1523"/>
      <c r="P279" s="1523"/>
      <c r="Q279" s="1523"/>
      <c r="R279" s="2002"/>
      <c r="S279" s="1523"/>
      <c r="T279" s="1523"/>
      <c r="U279" s="905"/>
      <c r="V279" s="1523"/>
      <c r="W279" s="1523"/>
      <c r="X279" s="1523"/>
      <c r="Y279" s="1523"/>
      <c r="Z279" s="1523"/>
      <c r="AA279" s="1998"/>
      <c r="AB279" s="927"/>
      <c r="AC279" s="927"/>
      <c r="AD279" s="927"/>
      <c r="AE279" s="927"/>
    </row>
    <row s="32338" customFormat="1" customHeight="1" ht="11.25">
      <c r="A280" s="1349"/>
      <c r="B280" s="2002"/>
      <c r="C280" s="2002"/>
      <c r="D280" s="712"/>
      <c r="K280" s="1523"/>
      <c r="L280" s="2002"/>
      <c r="M280" s="2002"/>
      <c r="N280" s="1523"/>
      <c r="O280" s="1523"/>
      <c r="P280" s="1523"/>
      <c r="Q280" s="1523"/>
      <c r="R280" s="2002"/>
      <c r="S280" s="1523"/>
      <c r="T280" s="1523"/>
      <c r="U280" s="905"/>
      <c r="V280" s="1523"/>
      <c r="W280" s="1523"/>
      <c r="X280" s="1523"/>
      <c r="Y280" s="1523"/>
      <c r="Z280" s="1523"/>
      <c r="AA280" s="1998"/>
      <c r="AB280" s="927"/>
      <c r="AC280" s="927"/>
      <c r="AD280" s="927"/>
      <c r="AE280" s="927"/>
    </row>
    <row s="32338" customFormat="1" customHeight="1" ht="11.25">
      <c r="A281" s="1349"/>
      <c r="B281" s="2002"/>
      <c r="C281" s="2002"/>
      <c r="D281" s="712"/>
      <c r="K281" s="1523"/>
      <c r="L281" s="2002"/>
      <c r="M281" s="2002"/>
      <c r="N281" s="1523"/>
      <c r="O281" s="1523"/>
      <c r="P281" s="1523"/>
      <c r="Q281" s="1523"/>
      <c r="R281" s="2002"/>
      <c r="S281" s="1523"/>
      <c r="T281" s="1523"/>
      <c r="U281" s="905"/>
      <c r="V281" s="1523"/>
      <c r="W281" s="1523"/>
      <c r="X281" s="1523"/>
      <c r="Y281" s="1523"/>
      <c r="Z281" s="1523"/>
      <c r="AA281" s="1998"/>
      <c r="AB281" s="927"/>
      <c r="AC281" s="927"/>
      <c r="AD281" s="927"/>
      <c r="AE281" s="927"/>
    </row>
    <row s="32338" customFormat="1" customHeight="1" ht="11.25">
      <c r="A282" s="1349"/>
      <c r="B282" s="2002"/>
      <c r="C282" s="2002"/>
      <c r="D282" s="712"/>
      <c r="K282" s="1523"/>
      <c r="L282" s="2002"/>
      <c r="M282" s="2002"/>
      <c r="N282" s="1523"/>
      <c r="O282" s="1523"/>
      <c r="P282" s="1523"/>
      <c r="Q282" s="1523"/>
      <c r="R282" s="2002"/>
      <c r="S282" s="1523"/>
      <c r="T282" s="1523"/>
      <c r="U282" s="905"/>
      <c r="V282" s="1523"/>
      <c r="W282" s="1523"/>
      <c r="X282" s="1523"/>
      <c r="Y282" s="1523"/>
      <c r="Z282" s="1523"/>
      <c r="AA282" s="1998"/>
      <c r="AB282" s="927"/>
      <c r="AC282" s="927"/>
      <c r="AD282" s="927"/>
      <c r="AE282" s="927"/>
    </row>
    <row s="32338" customFormat="1" customHeight="1" ht="11.25">
      <c r="A283" s="1349"/>
      <c r="B283" s="2002"/>
      <c r="C283" s="2002"/>
      <c r="D283" s="712"/>
      <c r="K283" s="1523"/>
      <c r="L283" s="2002"/>
      <c r="M283" s="2002"/>
      <c r="N283" s="1523"/>
      <c r="O283" s="1523"/>
      <c r="P283" s="1523"/>
      <c r="Q283" s="1523"/>
      <c r="R283" s="2002"/>
      <c r="S283" s="1523"/>
      <c r="T283" s="1523"/>
      <c r="U283" s="905"/>
      <c r="V283" s="1523"/>
      <c r="W283" s="1523"/>
      <c r="X283" s="1523"/>
      <c r="Y283" s="1523"/>
      <c r="Z283" s="1523"/>
      <c r="AA283" s="1998"/>
      <c r="AB283" s="927"/>
      <c r="AC283" s="927"/>
      <c r="AD283" s="927"/>
      <c r="AE283" s="927"/>
    </row>
    <row s="32338" customFormat="1" customHeight="1" ht="11.25">
      <c r="A284" s="1349"/>
      <c r="B284" s="2002"/>
      <c r="C284" s="2002"/>
      <c r="D284" s="712"/>
      <c r="K284" s="1523"/>
      <c r="L284" s="2002"/>
      <c r="M284" s="2002"/>
      <c r="N284" s="1523"/>
      <c r="O284" s="1523"/>
      <c r="P284" s="1523"/>
      <c r="Q284" s="1523"/>
      <c r="R284" s="2002"/>
      <c r="S284" s="1523"/>
      <c r="T284" s="1523"/>
      <c r="U284" s="905"/>
      <c r="V284" s="1523"/>
      <c r="W284" s="1523"/>
      <c r="X284" s="1523"/>
      <c r="Y284" s="1523"/>
      <c r="Z284" s="1523"/>
      <c r="AA284" s="1998"/>
      <c r="AB284" s="927"/>
      <c r="AC284" s="927"/>
      <c r="AD284" s="927"/>
      <c r="AE284" s="927"/>
    </row>
    <row s="32338" customFormat="1" customHeight="1" ht="11.25">
      <c r="A285" s="1349"/>
      <c r="B285" s="2002"/>
      <c r="C285" s="2002"/>
      <c r="D285" s="712"/>
      <c r="K285" s="1523"/>
      <c r="L285" s="2002"/>
      <c r="M285" s="2002"/>
      <c r="N285" s="1523"/>
      <c r="O285" s="1523"/>
      <c r="P285" s="1523"/>
      <c r="Q285" s="1523"/>
      <c r="R285" s="2002"/>
      <c r="S285" s="1523"/>
      <c r="T285" s="1523"/>
      <c r="U285" s="905"/>
      <c r="V285" s="1523"/>
      <c r="W285" s="1523"/>
      <c r="X285" s="1523"/>
      <c r="Y285" s="1523"/>
      <c r="Z285" s="1523"/>
      <c r="AA285" s="1998"/>
      <c r="AB285" s="927"/>
      <c r="AC285" s="927"/>
      <c r="AD285" s="927"/>
      <c r="AE285" s="927"/>
    </row>
    <row s="32338" customFormat="1" customHeight="1" ht="11.25">
      <c r="A286" s="1349"/>
      <c r="B286" s="2002"/>
      <c r="C286" s="2002"/>
      <c r="D286" s="712"/>
      <c r="K286" s="1523"/>
      <c r="L286" s="2002"/>
      <c r="M286" s="2002"/>
      <c r="N286" s="1523"/>
      <c r="O286" s="1523"/>
      <c r="P286" s="1523"/>
      <c r="Q286" s="1523"/>
      <c r="R286" s="2002"/>
      <c r="S286" s="1523"/>
      <c r="T286" s="1523"/>
      <c r="U286" s="905"/>
      <c r="V286" s="1523"/>
      <c r="W286" s="1523"/>
      <c r="X286" s="1523"/>
      <c r="Y286" s="1523"/>
      <c r="Z286" s="1523"/>
      <c r="AA286" s="1998"/>
      <c r="AB286" s="927"/>
      <c r="AC286" s="927"/>
      <c r="AD286" s="927"/>
      <c r="AE286" s="927"/>
    </row>
    <row s="32338" customFormat="1" customHeight="1" ht="11.25">
      <c r="A287" s="1349"/>
      <c r="B287" s="2002"/>
      <c r="C287" s="2002"/>
      <c r="D287" s="712"/>
      <c r="K287" s="1523"/>
      <c r="L287" s="2002"/>
      <c r="M287" s="2002"/>
      <c r="N287" s="1523"/>
      <c r="O287" s="1523"/>
      <c r="P287" s="1523"/>
      <c r="Q287" s="1523"/>
      <c r="R287" s="2002"/>
      <c r="S287" s="1523"/>
      <c r="T287" s="1523"/>
      <c r="U287" s="905"/>
      <c r="V287" s="1523"/>
      <c r="W287" s="1523"/>
      <c r="X287" s="1523"/>
      <c r="Y287" s="1523"/>
      <c r="Z287" s="1523"/>
      <c r="AA287" s="1998"/>
      <c r="AB287" s="927"/>
      <c r="AC287" s="927"/>
      <c r="AD287" s="927"/>
      <c r="AE287" s="927"/>
    </row>
    <row s="32338" customFormat="1" customHeight="1" ht="11.25">
      <c r="A288" s="1349"/>
      <c r="B288" s="2002"/>
      <c r="C288" s="2002"/>
      <c r="D288" s="712"/>
      <c r="K288" s="1523"/>
      <c r="L288" s="2002"/>
      <c r="M288" s="2002"/>
      <c r="N288" s="1523"/>
      <c r="O288" s="1523"/>
      <c r="P288" s="1523"/>
      <c r="Q288" s="1523"/>
      <c r="R288" s="2002"/>
      <c r="S288" s="1523"/>
      <c r="T288" s="1523"/>
      <c r="U288" s="905"/>
      <c r="V288" s="1523"/>
      <c r="W288" s="1523"/>
      <c r="X288" s="1523"/>
      <c r="Y288" s="1523"/>
      <c r="Z288" s="1523"/>
      <c r="AA288" s="1998"/>
      <c r="AB288" s="927"/>
      <c r="AC288" s="927"/>
      <c r="AD288" s="927"/>
      <c r="AE288" s="927"/>
    </row>
    <row r="292" customHeight="1" ht="11.25">
      <c r="A292" s="1352"/>
      <c r="B292" s="1997"/>
      <c r="D292" s="1997"/>
      <c r="K292" s="1997"/>
      <c r="N292" s="1997"/>
      <c r="O292" s="1997"/>
      <c r="P292" s="1997"/>
      <c r="Q292" s="1997"/>
      <c r="S292" s="1997"/>
      <c r="T292" s="1997"/>
      <c r="U292" s="1997"/>
      <c r="V292" s="1997"/>
      <c r="W292" s="1997"/>
      <c r="X292" s="1997"/>
      <c r="Y292" s="1997"/>
      <c r="Z292" s="1997"/>
      <c r="AA292" s="1997"/>
      <c r="AB292" s="1997"/>
      <c r="AC292" s="1997"/>
      <c r="AD292" s="1997"/>
      <c r="AE292" s="1997"/>
    </row>
    <row customHeight="1" ht="11.25">
      <c r="A293" s="1352"/>
      <c r="B293" s="1997"/>
      <c r="D293" s="1997"/>
      <c r="K293" s="1997"/>
      <c r="N293" s="1997"/>
      <c r="O293" s="1997"/>
      <c r="P293" s="1997"/>
      <c r="Q293" s="1997"/>
      <c r="S293" s="1997"/>
      <c r="T293" s="1997"/>
      <c r="U293" s="1997"/>
      <c r="V293" s="1997"/>
      <c r="W293" s="1997"/>
      <c r="X293" s="1997"/>
      <c r="Y293" s="1997"/>
      <c r="Z293" s="1997"/>
      <c r="AA293" s="1997"/>
      <c r="AB293" s="1997"/>
      <c r="AC293" s="1997"/>
      <c r="AD293" s="1997"/>
      <c r="AE293" s="1997"/>
    </row>
    <row customHeight="1" ht="11.25">
      <c r="A294" s="1352"/>
      <c r="B294" s="1997"/>
      <c r="D294" s="1997"/>
      <c r="K294" s="1997"/>
      <c r="N294" s="1997"/>
      <c r="O294" s="1997"/>
      <c r="P294" s="1997"/>
      <c r="Q294" s="1997"/>
      <c r="S294" s="1997"/>
      <c r="T294" s="1997"/>
      <c r="U294" s="1997"/>
      <c r="V294" s="1997"/>
      <c r="W294" s="1997"/>
      <c r="X294" s="1997"/>
      <c r="Y294" s="1997"/>
      <c r="Z294" s="1997"/>
      <c r="AA294" s="1997"/>
      <c r="AB294" s="1997"/>
      <c r="AC294" s="1997"/>
      <c r="AD294" s="1997"/>
      <c r="AE294" s="1997"/>
    </row>
    <row customHeight="1" ht="11.25">
      <c r="A295" s="1352"/>
      <c r="B295" s="1997"/>
      <c r="D295" s="1997"/>
      <c r="K295" s="1997"/>
      <c r="N295" s="1997"/>
      <c r="O295" s="1997"/>
      <c r="P295" s="1997"/>
      <c r="Q295" s="1997"/>
      <c r="S295" s="1997"/>
      <c r="T295" s="1997"/>
      <c r="U295" s="1997"/>
      <c r="V295" s="1997"/>
      <c r="W295" s="1997"/>
      <c r="X295" s="1997"/>
      <c r="Y295" s="1997"/>
      <c r="Z295" s="1997"/>
      <c r="AA295" s="1997"/>
      <c r="AB295" s="1997"/>
      <c r="AC295" s="1997"/>
      <c r="AD295" s="1997"/>
      <c r="AE295" s="1997"/>
    </row>
    <row customHeight="1" ht="11.25">
      <c r="A296" s="1352"/>
      <c r="B296" s="1997"/>
      <c r="D296" s="1997"/>
      <c r="K296" s="1997"/>
      <c r="N296" s="1997"/>
      <c r="O296" s="1997"/>
      <c r="P296" s="1997"/>
      <c r="Q296" s="1997"/>
      <c r="S296" s="1997"/>
      <c r="T296" s="1997"/>
      <c r="U296" s="1997"/>
      <c r="V296" s="1997"/>
      <c r="W296" s="1997"/>
      <c r="X296" s="1997"/>
      <c r="Y296" s="1997"/>
      <c r="Z296" s="1997"/>
      <c r="AA296" s="1997"/>
      <c r="AB296" s="1997"/>
      <c r="AC296" s="1997"/>
      <c r="AD296" s="1997"/>
      <c r="AE296" s="1997"/>
    </row>
    <row customHeight="1" ht="11.25">
      <c r="A297" s="1352"/>
      <c r="B297" s="1997"/>
      <c r="D297" s="1997"/>
      <c r="K297" s="1997"/>
      <c r="N297" s="1997"/>
      <c r="O297" s="1997"/>
      <c r="P297" s="1997"/>
      <c r="Q297" s="1997"/>
      <c r="S297" s="1997"/>
      <c r="T297" s="1997"/>
      <c r="U297" s="1997"/>
      <c r="V297" s="1997"/>
      <c r="W297" s="1997"/>
      <c r="X297" s="1997"/>
      <c r="Y297" s="1997"/>
      <c r="Z297" s="1997"/>
      <c r="AA297" s="1997"/>
      <c r="AB297" s="1997"/>
      <c r="AC297" s="1997"/>
      <c r="AD297" s="1997"/>
      <c r="AE297" s="1997"/>
    </row>
    <row customHeight="1" ht="11.25">
      <c r="A298" s="1352"/>
      <c r="B298" s="1997"/>
      <c r="D298" s="1997"/>
      <c r="K298" s="1997"/>
      <c r="N298" s="1997"/>
      <c r="O298" s="1997"/>
      <c r="P298" s="1997"/>
      <c r="Q298" s="1997"/>
      <c r="S298" s="1997"/>
      <c r="T298" s="1997"/>
      <c r="U298" s="1997"/>
      <c r="V298" s="1997"/>
      <c r="W298" s="1997"/>
      <c r="X298" s="1997"/>
      <c r="Y298" s="1997"/>
      <c r="Z298" s="1997"/>
      <c r="AA298" s="1997"/>
      <c r="AB298" s="1997"/>
      <c r="AC298" s="1997"/>
      <c r="AD298" s="1997"/>
      <c r="AE298" s="1997"/>
    </row>
    <row customHeight="1" ht="11.25">
      <c r="A299" s="1352"/>
      <c r="B299" s="1997"/>
      <c r="D299" s="1997"/>
      <c r="K299" s="1997"/>
      <c r="N299" s="1997"/>
      <c r="O299" s="1997"/>
      <c r="P299" s="1997"/>
      <c r="Q299" s="1997"/>
      <c r="S299" s="1997"/>
      <c r="T299" s="1997"/>
      <c r="U299" s="1997"/>
      <c r="V299" s="1997"/>
      <c r="W299" s="1997"/>
      <c r="X299" s="1997"/>
      <c r="Y299" s="1997"/>
      <c r="Z299" s="1997"/>
      <c r="AA299" s="1997"/>
      <c r="AB299" s="1997"/>
      <c r="AC299" s="1997"/>
      <c r="AD299" s="1997"/>
      <c r="AE299" s="1997"/>
    </row>
    <row customHeight="1" ht="11.25">
      <c r="A300" s="1352"/>
      <c r="B300" s="1997"/>
      <c r="D300" s="1997"/>
      <c r="K300" s="1997"/>
      <c r="N300" s="1997"/>
      <c r="O300" s="1997"/>
      <c r="P300" s="1997"/>
      <c r="Q300" s="1997"/>
      <c r="S300" s="1997"/>
      <c r="T300" s="1997"/>
      <c r="U300" s="1997"/>
      <c r="V300" s="1997"/>
      <c r="W300" s="1997"/>
      <c r="X300" s="1997"/>
      <c r="Y300" s="1997"/>
      <c r="Z300" s="1997"/>
      <c r="AA300" s="1997"/>
      <c r="AB300" s="1997"/>
      <c r="AC300" s="1997"/>
      <c r="AD300" s="1997"/>
      <c r="AE300" s="1997"/>
    </row>
    <row customHeight="1" ht="11.25">
      <c r="A301" s="1352"/>
      <c r="B301" s="1997"/>
      <c r="D301" s="1997"/>
      <c r="K301" s="1997"/>
      <c r="N301" s="1997"/>
      <c r="O301" s="1997"/>
      <c r="P301" s="1997"/>
      <c r="Q301" s="1997"/>
      <c r="S301" s="1997"/>
      <c r="T301" s="1997"/>
      <c r="U301" s="1997"/>
      <c r="V301" s="1997"/>
      <c r="W301" s="1997"/>
      <c r="X301" s="1997"/>
      <c r="Y301" s="1997"/>
      <c r="Z301" s="1997"/>
      <c r="AA301" s="1997"/>
      <c r="AB301" s="1997"/>
      <c r="AC301" s="1997"/>
      <c r="AD301" s="1997"/>
      <c r="AE301" s="1997"/>
    </row>
    <row customHeight="1" ht="11.25">
      <c r="A302" s="1352"/>
      <c r="B302" s="1997"/>
      <c r="D302" s="1997"/>
      <c r="K302" s="1997"/>
      <c r="N302" s="1997"/>
      <c r="O302" s="1997"/>
      <c r="P302" s="1997"/>
      <c r="Q302" s="1997"/>
      <c r="S302" s="1997"/>
      <c r="T302" s="1997"/>
      <c r="U302" s="1997"/>
      <c r="V302" s="1997"/>
      <c r="W302" s="1997"/>
      <c r="X302" s="1997"/>
      <c r="Y302" s="1997"/>
      <c r="Z302" s="1997"/>
      <c r="AA302" s="1997"/>
      <c r="AB302" s="1997"/>
      <c r="AC302" s="1997"/>
      <c r="AD302" s="1997"/>
      <c r="AE302" s="1997"/>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4EAC69-54A5-D6A8-DEC9-9BC43B7A6905}"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36938" width="14.7109375" hidden="1" customWidth="1"/>
    <col min="2" max="2" style="32070" width="17.00390625" hidden="1" customWidth="1"/>
    <col min="3" max="3" style="32073" width="3.7109375" customWidth="1"/>
    <col min="4" max="4" style="32073" width="1.8515625" hidden="1" customWidth="1"/>
    <col min="5" max="6" style="32073" width="7.7109375" customWidth="1"/>
    <col min="7" max="7" style="32073" width="29.7109375" customWidth="1"/>
    <col min="8" max="8" style="32073" width="3.7109375" customWidth="1"/>
    <col min="9" max="9" style="32073" width="5.421875" customWidth="1"/>
    <col min="10" max="10" style="32073" width="24.57421875" customWidth="1"/>
    <col min="11" max="11" style="32073" width="24.421875" customWidth="1"/>
    <col min="12" max="12" style="32073" width="3.7109375" customWidth="1"/>
    <col min="13" max="13" style="32073" width="6.28125" customWidth="1"/>
    <col min="14" max="14" style="32073" width="25.8515625" customWidth="1"/>
    <col min="15" max="18" style="32073" width="18.7109375" customWidth="1"/>
    <col min="19" max="19" style="32073" width="93.421875" customWidth="1"/>
    <col min="20" max="20" style="32073" width="10.57421875" customWidth="1"/>
    <col min="21" max="21" style="36939" width="10.57421875" customWidth="1"/>
    <col min="22" max="22" style="36939" width="11.7109375" customWidth="1"/>
    <col min="23" max="23" style="36940" width="10.57421875" customWidth="1"/>
    <col min="24" max="27" style="32070" width="10.57421875" customWidth="1"/>
    <col min="28" max="83" style="32073" width="9.140625"/>
  </cols>
  <sheetData>
    <row customHeight="1" ht="11.25" hidden="1"/>
    <row customHeight="1" ht="11.25" hidden="1"/>
    <row customHeight="1" ht="11.25" hidden="1"/>
    <row customHeight="1" ht="3">
      <c r="C4" s="870"/>
      <c r="D4" s="870"/>
      <c r="E4" s="870"/>
      <c r="F4" s="870"/>
      <c r="G4" s="870"/>
      <c r="H4" s="870"/>
      <c r="I4" s="870"/>
      <c r="J4" s="870"/>
      <c r="K4" s="528"/>
      <c r="L4" s="528"/>
      <c r="M4" s="528"/>
    </row>
    <row customHeight="1" ht="28.5">
      <c r="C5" s="870"/>
      <c r="D5" s="1419"/>
      <c r="E5" s="250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505"/>
      <c r="G5" s="2505"/>
      <c r="H5" s="2505"/>
      <c r="I5" s="2505"/>
      <c r="J5" s="2505"/>
      <c r="K5" s="2505"/>
      <c r="L5" s="974"/>
      <c r="M5" s="974"/>
    </row>
    <row s="31547" customFormat="1" customHeight="1" ht="16.5">
      <c r="A6" s="971"/>
      <c r="B6" s="1120"/>
      <c r="C6" s="870"/>
      <c r="D6" s="1420"/>
      <c r="E6" s="2474" t="str">
        <f>IF(org=0,"Не определено",org)</f>
        <v>АО "Мурманэнергосбыт"</v>
      </c>
      <c r="F6" s="2474"/>
      <c r="G6" s="2474"/>
      <c r="H6" s="2474"/>
      <c r="I6" s="2474"/>
      <c r="J6" s="2474"/>
      <c r="K6" s="2474"/>
      <c r="L6" s="974"/>
      <c r="M6" s="974"/>
      <c r="U6" s="972"/>
      <c r="V6" s="972"/>
      <c r="W6" s="973"/>
      <c r="X6" s="1120"/>
      <c r="Y6" s="1120"/>
      <c r="Z6" s="1120"/>
      <c r="AA6" s="1120"/>
    </row>
    <row customHeight="1" ht="11.25">
      <c r="C7" s="870"/>
      <c r="D7" s="870"/>
      <c r="E7" s="870"/>
      <c r="F7" s="870"/>
      <c r="G7" s="883"/>
      <c r="H7" s="883"/>
      <c r="I7" s="883"/>
      <c r="J7" s="883"/>
      <c r="K7" s="975"/>
      <c r="L7" s="975"/>
      <c r="M7" s="975"/>
      <c r="R7" s="1113"/>
    </row>
    <row s="32049" customFormat="1" customHeight="1" ht="5.25">
      <c r="A8" s="982"/>
      <c r="B8" s="927"/>
      <c r="C8" s="712"/>
      <c r="D8" s="712"/>
      <c r="E8" s="712"/>
      <c r="F8" s="712"/>
      <c r="G8" s="1337"/>
      <c r="H8" s="1337"/>
      <c r="I8" s="1337"/>
      <c r="J8" s="1337"/>
      <c r="K8" s="1380"/>
      <c r="L8" s="1380"/>
      <c r="M8" s="1380"/>
      <c r="R8" s="1381"/>
      <c r="U8" s="972"/>
      <c r="V8" s="972"/>
      <c r="W8" s="983"/>
      <c r="X8" s="927"/>
      <c r="Y8" s="927"/>
      <c r="Z8" s="927"/>
      <c r="AA8" s="927"/>
    </row>
    <row customHeight="1" ht="18.75">
      <c r="D9" s="650"/>
      <c r="E9" s="2376" t="s">
        <v>341</v>
      </c>
      <c r="F9" s="2377"/>
      <c r="G9" s="2377"/>
      <c r="H9" s="2377"/>
      <c r="I9" s="2377"/>
      <c r="J9" s="2377"/>
      <c r="K9" s="2377"/>
      <c r="L9" s="2377"/>
      <c r="M9" s="2377"/>
      <c r="N9" s="2377"/>
      <c r="O9" s="2377"/>
      <c r="P9" s="2377"/>
      <c r="Q9" s="2377"/>
      <c r="R9" s="2378"/>
      <c r="S9" s="2392" t="s">
        <v>342</v>
      </c>
      <c r="T9" s="695"/>
    </row>
    <row customHeight="1" ht="33.75">
      <c r="D10" s="912" t="s">
        <v>87</v>
      </c>
      <c r="E10" s="2392" t="s">
        <v>87</v>
      </c>
      <c r="F10" s="2392"/>
      <c r="G10" s="882" t="s">
        <v>343</v>
      </c>
      <c r="H10" s="2392" t="s">
        <v>87</v>
      </c>
      <c r="I10" s="2392"/>
      <c r="J10" s="882" t="s">
        <v>643</v>
      </c>
      <c r="K10" s="882" t="s">
        <v>644</v>
      </c>
      <c r="L10" s="2392" t="s">
        <v>87</v>
      </c>
      <c r="M10" s="2392"/>
      <c r="N10" s="882" t="s">
        <v>645</v>
      </c>
      <c r="O10" s="882" t="s">
        <v>646</v>
      </c>
      <c r="P10" s="882" t="s">
        <v>647</v>
      </c>
      <c r="Q10" s="882" t="s">
        <v>648</v>
      </c>
      <c r="R10" s="882" t="s">
        <v>649</v>
      </c>
      <c r="S10" s="2392"/>
      <c r="T10" s="695"/>
    </row>
    <row s="32289" customFormat="1" customHeight="1" ht="15" hidden="1">
      <c r="A11" s="1414"/>
      <c r="D11" s="1387" t="s">
        <v>118</v>
      </c>
      <c r="E11" s="1387"/>
      <c r="F11" s="1387" t="s">
        <v>102</v>
      </c>
      <c r="G11" s="1387" t="s">
        <v>89</v>
      </c>
      <c r="H11" s="1387"/>
      <c r="I11" s="1387" t="s">
        <v>90</v>
      </c>
      <c r="J11" s="1387" t="s">
        <v>119</v>
      </c>
      <c r="K11" s="1387" t="s">
        <v>91</v>
      </c>
      <c r="L11" s="1387"/>
      <c r="M11" s="1387" t="s">
        <v>92</v>
      </c>
      <c r="N11" s="1387" t="s">
        <v>120</v>
      </c>
      <c r="O11" s="1387" t="s">
        <v>156</v>
      </c>
      <c r="P11" s="1387" t="s">
        <v>157</v>
      </c>
      <c r="Q11" s="1387" t="s">
        <v>105</v>
      </c>
      <c r="R11" s="1387" t="s">
        <v>158</v>
      </c>
      <c r="S11" s="1387" t="s">
        <v>159</v>
      </c>
      <c r="U11" s="972"/>
      <c r="V11" s="972"/>
      <c r="W11" s="972"/>
    </row>
    <row s="36887" customFormat="1" customHeight="1" ht="0.75">
      <c r="A12" s="976"/>
      <c r="B12" s="723"/>
      <c r="D12" s="909"/>
      <c r="E12" s="707"/>
      <c r="F12" s="707"/>
      <c r="Q12" s="977"/>
      <c r="R12" s="978"/>
      <c r="T12" s="979"/>
      <c r="U12" s="980"/>
      <c r="V12" s="980"/>
      <c r="W12" s="981"/>
      <c r="X12" s="723"/>
      <c r="Y12" s="723"/>
      <c r="Z12" s="723"/>
      <c r="AA12" s="723"/>
    </row>
    <row s="32049" customFormat="1" customHeight="1" ht="0.75">
      <c r="A13" s="982"/>
      <c r="B13" s="927"/>
      <c r="D13" s="909" t="s">
        <v>417</v>
      </c>
      <c r="E13" s="921"/>
      <c r="F13" s="921"/>
      <c r="G13" s="921"/>
      <c r="H13" s="921"/>
      <c r="I13" s="921"/>
      <c r="J13" s="921"/>
      <c r="K13" s="921"/>
      <c r="L13" s="921"/>
      <c r="M13" s="921"/>
      <c r="N13" s="921"/>
      <c r="O13" s="921"/>
      <c r="P13" s="921"/>
      <c r="Q13" s="921"/>
      <c r="R13" s="921"/>
      <c r="T13" s="695"/>
      <c r="U13" s="972"/>
      <c r="V13" s="972"/>
      <c r="W13" s="983"/>
      <c r="X13" s="927"/>
      <c r="Y13" s="927"/>
      <c r="Z13" s="927"/>
      <c r="AA13" s="927"/>
    </row>
    <row s="31920" customFormat="1" customHeight="1" ht="15" hidden="1">
      <c r="A14" s="984" t="s">
        <v>125</v>
      </c>
      <c r="B14" s="985"/>
      <c r="C14" s="985"/>
      <c r="D14" s="2640" t="s">
        <v>118</v>
      </c>
      <c r="E14" s="2648" t="s">
        <v>114</v>
      </c>
      <c r="F14" s="2649"/>
      <c r="G14" s="2650"/>
      <c r="H14" s="2643">
        <f>IF(A14="","",INDEX(DIFFERENTIATION_UNMERGE_VD,MATCH(A14,DIFFERENTIATION_ID_DIFF,0)))</f>
        <v>0</v>
      </c>
      <c r="I14" s="2643"/>
      <c r="J14" s="2643"/>
      <c r="K14" s="2643"/>
      <c r="L14" s="2643"/>
      <c r="M14" s="2643"/>
      <c r="N14" s="2643"/>
      <c r="O14" s="2643"/>
      <c r="P14" s="2643"/>
      <c r="Q14" s="2643"/>
      <c r="R14" s="2643"/>
      <c r="S14" s="1080"/>
      <c r="T14" s="1077"/>
      <c r="U14" s="986"/>
      <c r="V14" s="986"/>
      <c r="W14" s="987"/>
      <c r="X14" s="987"/>
      <c r="Y14" s="987"/>
      <c r="Z14" s="987"/>
      <c r="AA14" s="988"/>
      <c r="AB14" s="989"/>
      <c r="AC14" s="2647"/>
      <c r="AD14" s="990"/>
      <c r="AE14" s="991" t="s">
        <v>24</v>
      </c>
      <c r="AF14" s="991"/>
      <c r="AG14" s="992" t="s">
        <v>650</v>
      </c>
      <c r="AH14" s="993">
        <v>3</v>
      </c>
      <c r="AI14" s="986"/>
      <c r="AJ14" s="986"/>
      <c r="AK14" s="986"/>
      <c r="AL14" s="986"/>
      <c r="AM14" s="986"/>
      <c r="AN14" s="986"/>
      <c r="AO14" s="986"/>
      <c r="AP14" s="986"/>
      <c r="AQ14" s="986"/>
      <c r="AR14" s="986"/>
      <c r="AS14" s="986"/>
      <c r="AT14" s="986"/>
      <c r="AU14" s="986"/>
      <c r="AV14" s="986"/>
      <c r="AW14" s="986"/>
      <c r="AX14" s="986"/>
      <c r="AY14" s="986"/>
      <c r="AZ14" s="986"/>
      <c r="BA14" s="986"/>
      <c r="BB14" s="986"/>
      <c r="BC14" s="986"/>
      <c r="BD14" s="986"/>
      <c r="BE14" s="986"/>
      <c r="BF14" s="986"/>
      <c r="BG14" s="986"/>
      <c r="BH14" s="986"/>
      <c r="BI14" s="986"/>
      <c r="BJ14" s="986"/>
      <c r="BK14" s="986"/>
      <c r="BL14" s="986"/>
      <c r="BM14" s="986"/>
      <c r="BN14" s="986"/>
      <c r="BO14" s="986"/>
      <c r="BP14" s="986"/>
      <c r="BQ14" s="986"/>
      <c r="BR14" s="986"/>
      <c r="BS14" s="986"/>
      <c r="BT14" s="986"/>
      <c r="BU14" s="986"/>
      <c r="BV14" s="987"/>
      <c r="BW14" s="987"/>
      <c r="BX14" s="987"/>
      <c r="BY14" s="987"/>
      <c r="BZ14" s="987"/>
      <c r="CA14" s="987"/>
      <c r="CB14" s="987"/>
      <c r="CC14" s="987"/>
      <c r="CD14" s="987"/>
      <c r="CE14" s="987"/>
    </row>
    <row s="31920" customFormat="1" customHeight="1" ht="15" hidden="1">
      <c r="A15" s="984"/>
      <c r="B15" s="985"/>
      <c r="C15" s="985"/>
      <c r="D15" s="2641"/>
      <c r="E15" s="2648" t="s">
        <v>605</v>
      </c>
      <c r="F15" s="2649"/>
      <c r="G15" s="2650"/>
      <c r="H15" s="2643" t="str">
        <f>IF(A14="","",INDEX(DIFFERENTIATION_UNMERGE_AREA,MATCH(A14,DIFFERENTIATION_ID_DIFF,0)))</f>
        <v/>
      </c>
      <c r="I15" s="2643"/>
      <c r="J15" s="2643"/>
      <c r="K15" s="2643"/>
      <c r="L15" s="2643"/>
      <c r="M15" s="2643"/>
      <c r="N15" s="2643"/>
      <c r="O15" s="2643"/>
      <c r="P15" s="2643"/>
      <c r="Q15" s="2643"/>
      <c r="R15" s="2643"/>
      <c r="S15" s="1080"/>
      <c r="T15" s="1077"/>
      <c r="U15" s="986"/>
      <c r="V15" s="986"/>
      <c r="W15" s="987"/>
      <c r="X15" s="987"/>
      <c r="Y15" s="987"/>
      <c r="Z15" s="987"/>
      <c r="AA15" s="988"/>
      <c r="AB15" s="989"/>
      <c r="AC15" s="2647"/>
      <c r="AD15" s="990"/>
      <c r="AE15" s="991"/>
      <c r="AF15" s="991"/>
      <c r="AG15" s="992"/>
      <c r="AH15" s="993"/>
      <c r="AI15" s="986"/>
      <c r="AJ15" s="986"/>
      <c r="AK15" s="986"/>
      <c r="AL15" s="986"/>
      <c r="AM15" s="986"/>
      <c r="AN15" s="986"/>
      <c r="AO15" s="986"/>
      <c r="AP15" s="986"/>
      <c r="AQ15" s="986"/>
      <c r="AR15" s="986"/>
      <c r="AS15" s="986"/>
      <c r="AT15" s="986"/>
      <c r="AU15" s="986"/>
      <c r="AV15" s="986"/>
      <c r="AW15" s="986"/>
      <c r="AX15" s="986"/>
      <c r="AY15" s="986"/>
      <c r="AZ15" s="986"/>
      <c r="BA15" s="986"/>
      <c r="BB15" s="986"/>
      <c r="BC15" s="986"/>
      <c r="BD15" s="986"/>
      <c r="BE15" s="986"/>
      <c r="BF15" s="986"/>
      <c r="BG15" s="986"/>
      <c r="BH15" s="986"/>
      <c r="BI15" s="986"/>
      <c r="BJ15" s="986"/>
      <c r="BK15" s="986"/>
      <c r="BL15" s="986"/>
      <c r="BM15" s="986"/>
      <c r="BN15" s="986"/>
      <c r="BO15" s="986"/>
      <c r="BP15" s="986"/>
      <c r="BQ15" s="986"/>
      <c r="BR15" s="986"/>
      <c r="BS15" s="986"/>
      <c r="BT15" s="986"/>
      <c r="BU15" s="986"/>
      <c r="BV15" s="987"/>
      <c r="BW15" s="987"/>
      <c r="BX15" s="987"/>
      <c r="BY15" s="987"/>
      <c r="BZ15" s="987"/>
      <c r="CA15" s="987"/>
      <c r="CB15" s="987"/>
      <c r="CC15" s="987"/>
      <c r="CD15" s="987"/>
      <c r="CE15" s="987"/>
    </row>
    <row s="31920" customFormat="1" customHeight="1" ht="15" hidden="1">
      <c r="A16" s="984"/>
      <c r="B16" s="985"/>
      <c r="C16" s="985"/>
      <c r="D16" s="2641"/>
      <c r="E16" s="2648" t="s">
        <v>606</v>
      </c>
      <c r="F16" s="2649"/>
      <c r="G16" s="2650"/>
      <c r="H16" s="2643" t="str">
        <f>IF(A14="","",INDEX(DIFFERENTIATION_UNMERGE_SYSTEM,MATCH(A14,DIFFERENTIATION_ID_DIFF,0)))</f>
        <v>без дифференциации</v>
      </c>
      <c r="I16" s="2643"/>
      <c r="J16" s="2643"/>
      <c r="K16" s="2643"/>
      <c r="L16" s="2643"/>
      <c r="M16" s="2643"/>
      <c r="N16" s="2643"/>
      <c r="O16" s="2643"/>
      <c r="P16" s="2643"/>
      <c r="Q16" s="2643"/>
      <c r="R16" s="2643"/>
      <c r="S16" s="1080"/>
      <c r="T16" s="1077"/>
      <c r="U16" s="986"/>
      <c r="V16" s="986"/>
      <c r="W16" s="987"/>
      <c r="X16" s="987"/>
      <c r="Y16" s="987"/>
      <c r="Z16" s="987"/>
      <c r="AA16" s="988"/>
      <c r="AB16" s="989"/>
      <c r="AC16" s="2647"/>
      <c r="AD16" s="990"/>
      <c r="AE16" s="991"/>
      <c r="AF16" s="991"/>
      <c r="AG16" s="992"/>
      <c r="AH16" s="993"/>
      <c r="AI16" s="986"/>
      <c r="AJ16" s="986"/>
      <c r="AK16" s="986"/>
      <c r="AL16" s="986"/>
      <c r="AM16" s="986"/>
      <c r="AN16" s="986"/>
      <c r="AO16" s="986"/>
      <c r="AP16" s="986"/>
      <c r="AQ16" s="986"/>
      <c r="AR16" s="986"/>
      <c r="AS16" s="986"/>
      <c r="AT16" s="986"/>
      <c r="AU16" s="986"/>
      <c r="AV16" s="986"/>
      <c r="AW16" s="986"/>
      <c r="AX16" s="986"/>
      <c r="AY16" s="986"/>
      <c r="AZ16" s="986"/>
      <c r="BA16" s="986"/>
      <c r="BB16" s="986"/>
      <c r="BC16" s="986"/>
      <c r="BD16" s="986"/>
      <c r="BE16" s="986"/>
      <c r="BF16" s="986"/>
      <c r="BG16" s="986"/>
      <c r="BH16" s="986"/>
      <c r="BI16" s="986"/>
      <c r="BJ16" s="986"/>
      <c r="BK16" s="986"/>
      <c r="BL16" s="986"/>
      <c r="BM16" s="986"/>
      <c r="BN16" s="986"/>
      <c r="BO16" s="986"/>
      <c r="BP16" s="986"/>
      <c r="BQ16" s="986"/>
      <c r="BR16" s="986"/>
      <c r="BS16" s="986"/>
      <c r="BT16" s="986"/>
      <c r="BU16" s="986"/>
      <c r="BV16" s="987"/>
      <c r="BW16" s="987"/>
      <c r="BX16" s="987"/>
      <c r="BY16" s="987"/>
      <c r="BZ16" s="987"/>
      <c r="CA16" s="987"/>
      <c r="CB16" s="987"/>
      <c r="CC16" s="987"/>
      <c r="CD16" s="987"/>
      <c r="CE16" s="987"/>
    </row>
    <row s="31920" customFormat="1" customHeight="1" ht="22.5" hidden="1">
      <c r="A17" s="994"/>
      <c r="B17" s="778"/>
      <c r="C17" s="773"/>
      <c r="D17" s="2641"/>
      <c r="E17" s="2645" t="s">
        <v>651</v>
      </c>
      <c r="F17" s="2645"/>
      <c r="G17" s="2645"/>
      <c r="H17" s="2645"/>
      <c r="I17" s="2645"/>
      <c r="J17" s="2645"/>
      <c r="K17" s="2645"/>
      <c r="L17" s="2645"/>
      <c r="M17" s="2645"/>
      <c r="N17" s="2645"/>
      <c r="O17" s="2645"/>
      <c r="P17" s="2645"/>
      <c r="Q17" s="919">
        <f>SUMIF(T18:T19,"i",Q18:Q19)</f>
        <v>0</v>
      </c>
      <c r="R17" s="1379"/>
      <c r="S17" s="1258" t="s">
        <v>652</v>
      </c>
      <c r="T17" s="1078" t="s">
        <v>653</v>
      </c>
      <c r="U17" s="2646">
        <v>1</v>
      </c>
      <c r="V17" s="2646" t="str">
        <f>INDEX(B_FHD_FLAG_INDEX_1,1,MATCH(A14,B_FHD_FLAG_DIFFERENTIATION,0))</f>
        <v>отсутствует</v>
      </c>
      <c r="W17" s="778"/>
      <c r="X17" s="778"/>
      <c r="Y17" s="778"/>
      <c r="Z17" s="778"/>
      <c r="AA17" s="872"/>
      <c r="AB17" s="778"/>
      <c r="AC17" s="2647"/>
      <c r="AD17" s="990"/>
      <c r="AE17" s="778"/>
      <c r="AF17" s="778"/>
      <c r="AG17" s="872"/>
      <c r="AH17" s="872"/>
      <c r="AI17" s="872"/>
      <c r="AJ17" s="872"/>
      <c r="AK17" s="872"/>
      <c r="AL17" s="872"/>
      <c r="AM17" s="872"/>
      <c r="AN17" s="872"/>
      <c r="AO17" s="872"/>
      <c r="AP17" s="872"/>
      <c r="AQ17" s="872"/>
      <c r="AR17" s="872"/>
      <c r="AS17" s="872"/>
      <c r="AT17" s="872"/>
      <c r="AU17" s="872"/>
      <c r="AV17" s="872"/>
      <c r="AW17" s="872"/>
      <c r="AX17" s="872"/>
      <c r="AY17" s="872"/>
      <c r="AZ17" s="872"/>
      <c r="BA17" s="872"/>
      <c r="BB17" s="872"/>
      <c r="BC17" s="872"/>
      <c r="BD17" s="872"/>
      <c r="BE17" s="872"/>
      <c r="BF17" s="872"/>
      <c r="BG17" s="872"/>
      <c r="BH17" s="872"/>
      <c r="BI17" s="872"/>
      <c r="BJ17" s="872"/>
      <c r="BK17" s="872"/>
      <c r="BL17" s="872"/>
      <c r="BM17" s="872"/>
      <c r="BN17" s="872"/>
      <c r="BO17" s="872"/>
      <c r="BP17" s="872"/>
      <c r="BQ17" s="872"/>
      <c r="BR17" s="872"/>
      <c r="BS17" s="872"/>
      <c r="BT17" s="872"/>
      <c r="BU17" s="872"/>
      <c r="BV17" s="778"/>
      <c r="BW17" s="778"/>
      <c r="BX17" s="778"/>
      <c r="BY17" s="778"/>
      <c r="BZ17" s="778"/>
      <c r="CA17" s="778"/>
      <c r="CB17" s="778"/>
      <c r="CC17" s="778"/>
      <c r="CD17" s="778"/>
      <c r="CE17" s="778"/>
    </row>
    <row s="31920" customFormat="1" customHeight="1" ht="11.25" hidden="1">
      <c r="A18" s="995"/>
      <c r="B18" s="872"/>
      <c r="C18" s="872"/>
      <c r="D18" s="2641"/>
      <c r="E18" s="996"/>
      <c r="F18" s="996">
        <v>0</v>
      </c>
      <c r="G18" s="996"/>
      <c r="H18" s="996"/>
      <c r="I18" s="996"/>
      <c r="J18" s="996"/>
      <c r="K18" s="996"/>
      <c r="L18" s="996"/>
      <c r="M18" s="996"/>
      <c r="N18" s="996"/>
      <c r="O18" s="996"/>
      <c r="P18" s="996"/>
      <c r="Q18" s="996"/>
      <c r="R18" s="996"/>
      <c r="S18" s="997"/>
      <c r="T18" s="1079"/>
      <c r="U18" s="2646"/>
      <c r="V18" s="2646"/>
      <c r="W18" s="872"/>
      <c r="X18" s="872"/>
      <c r="Y18" s="872"/>
      <c r="Z18" s="872"/>
      <c r="AA18" s="872"/>
      <c r="AB18" s="778"/>
      <c r="AC18" s="2647"/>
      <c r="AD18" s="990"/>
      <c r="AE18" s="778"/>
      <c r="AF18" s="778"/>
      <c r="AG18" s="872"/>
      <c r="AH18" s="872"/>
      <c r="AI18" s="872"/>
      <c r="AJ18" s="872"/>
      <c r="AK18" s="872"/>
      <c r="AL18" s="872"/>
      <c r="AM18" s="872"/>
      <c r="AN18" s="872"/>
      <c r="AO18" s="872"/>
      <c r="AP18" s="872"/>
      <c r="AQ18" s="872"/>
      <c r="AR18" s="872"/>
      <c r="AS18" s="872"/>
      <c r="AT18" s="872"/>
      <c r="AU18" s="872"/>
      <c r="AV18" s="872"/>
      <c r="AW18" s="872"/>
      <c r="AX18" s="872"/>
      <c r="AY18" s="872"/>
      <c r="AZ18" s="872"/>
      <c r="BA18" s="872"/>
      <c r="BB18" s="872"/>
      <c r="BC18" s="872"/>
      <c r="BD18" s="872"/>
      <c r="BE18" s="872"/>
      <c r="BF18" s="872"/>
      <c r="BG18" s="872"/>
      <c r="BH18" s="872"/>
      <c r="BI18" s="872"/>
      <c r="BJ18" s="872"/>
      <c r="BK18" s="872"/>
      <c r="BL18" s="872"/>
      <c r="BM18" s="872"/>
      <c r="BN18" s="872"/>
      <c r="BO18" s="872"/>
      <c r="BP18" s="872"/>
      <c r="BQ18" s="872"/>
      <c r="BR18" s="872"/>
      <c r="BS18" s="872"/>
      <c r="BT18" s="872"/>
      <c r="BU18" s="872"/>
      <c r="BV18" s="872"/>
      <c r="BW18" s="872"/>
      <c r="BX18" s="872"/>
      <c r="BY18" s="872"/>
      <c r="BZ18" s="872"/>
      <c r="CA18" s="872"/>
      <c r="CB18" s="872"/>
      <c r="CC18" s="872"/>
      <c r="CD18" s="872"/>
      <c r="CE18" s="872"/>
    </row>
    <row s="31920" customFormat="1" customHeight="1" ht="11.25" hidden="1">
      <c r="A19" s="994"/>
      <c r="B19" s="778"/>
      <c r="C19" s="773"/>
      <c r="D19" s="2641"/>
      <c r="E19" s="1010" t="s">
        <v>24</v>
      </c>
      <c r="F19" s="1011" t="s">
        <v>24</v>
      </c>
      <c r="G19" s="1011" t="s">
        <v>24</v>
      </c>
      <c r="H19" s="1012" t="s">
        <v>24</v>
      </c>
      <c r="I19" s="1012"/>
      <c r="J19" s="1012"/>
      <c r="K19" s="1012"/>
      <c r="L19" s="1012"/>
      <c r="M19" s="1012"/>
      <c r="N19" s="1012"/>
      <c r="O19" s="1012"/>
      <c r="P19" s="1012"/>
      <c r="Q19" s="1012"/>
      <c r="R19" s="1013"/>
      <c r="S19" s="1382"/>
      <c r="T19" s="1079"/>
      <c r="U19" s="2646"/>
      <c r="V19" s="2646"/>
      <c r="W19" s="778"/>
      <c r="X19" s="778"/>
      <c r="Y19" s="778"/>
      <c r="Z19" s="778"/>
      <c r="AA19" s="872"/>
      <c r="AB19" s="778"/>
      <c r="AC19" s="2647"/>
      <c r="AD19" s="990"/>
      <c r="AE19" s="778"/>
      <c r="AF19" s="778"/>
      <c r="AG19" s="872"/>
      <c r="AH19" s="872"/>
      <c r="AI19" s="872"/>
      <c r="AJ19" s="872"/>
      <c r="AK19" s="872"/>
      <c r="AL19" s="872"/>
      <c r="AM19" s="872"/>
      <c r="AN19" s="872"/>
      <c r="AO19" s="872"/>
      <c r="AP19" s="872"/>
      <c r="AQ19" s="872"/>
      <c r="AR19" s="872"/>
      <c r="AS19" s="872"/>
      <c r="AT19" s="872"/>
      <c r="AU19" s="872"/>
      <c r="AV19" s="872"/>
      <c r="AW19" s="872"/>
      <c r="AX19" s="872"/>
      <c r="AY19" s="872"/>
      <c r="AZ19" s="872"/>
      <c r="BA19" s="872"/>
      <c r="BB19" s="872"/>
      <c r="BC19" s="872"/>
      <c r="BD19" s="872"/>
      <c r="BE19" s="872"/>
      <c r="BF19" s="872"/>
      <c r="BG19" s="872"/>
      <c r="BH19" s="872"/>
      <c r="BI19" s="872"/>
      <c r="BJ19" s="872"/>
      <c r="BK19" s="872"/>
      <c r="BL19" s="872"/>
      <c r="BM19" s="872"/>
      <c r="BN19" s="872"/>
      <c r="BO19" s="872"/>
      <c r="BP19" s="872"/>
      <c r="BQ19" s="872"/>
      <c r="BR19" s="872"/>
      <c r="BS19" s="872"/>
      <c r="BT19" s="872"/>
      <c r="BU19" s="872"/>
      <c r="BV19" s="778"/>
      <c r="BW19" s="778"/>
      <c r="BX19" s="778"/>
      <c r="BY19" s="778"/>
      <c r="BZ19" s="778"/>
      <c r="CA19" s="778"/>
      <c r="CB19" s="778"/>
      <c r="CC19" s="778"/>
      <c r="CD19" s="778"/>
      <c r="CE19" s="778"/>
    </row>
    <row s="31920" customFormat="1" customHeight="1" ht="22.5" hidden="1">
      <c r="A20" s="994"/>
      <c r="B20" s="778"/>
      <c r="C20" s="773"/>
      <c r="D20" s="2641"/>
      <c r="E20" s="2645" t="s">
        <v>654</v>
      </c>
      <c r="F20" s="2645"/>
      <c r="G20" s="2645"/>
      <c r="H20" s="2645"/>
      <c r="I20" s="2645"/>
      <c r="J20" s="2645"/>
      <c r="K20" s="2645"/>
      <c r="L20" s="2645"/>
      <c r="M20" s="2645"/>
      <c r="N20" s="2645"/>
      <c r="O20" s="2645"/>
      <c r="P20" s="2645"/>
      <c r="Q20" s="919">
        <f>SUMIF(T21:T22,"i",Q21:Q22)</f>
        <v>0</v>
      </c>
      <c r="R20" s="1379"/>
      <c r="S20" s="1070" t="s">
        <v>655</v>
      </c>
      <c r="T20" s="1078" t="s">
        <v>653</v>
      </c>
      <c r="U20" s="2646">
        <v>2</v>
      </c>
      <c r="V20" s="2646" t="str">
        <f>INDEX(B_FHD_FLAG_INDEX_2,1,MATCH(A14,B_FHD_FLAG_DIFFERENTIATION,0))</f>
        <v>отсутствует</v>
      </c>
      <c r="W20" s="778"/>
      <c r="X20" s="778"/>
      <c r="Y20" s="778"/>
      <c r="Z20" s="778"/>
      <c r="AA20" s="872"/>
      <c r="AB20" s="778"/>
      <c r="AC20" s="1067"/>
      <c r="AD20" s="990"/>
      <c r="AE20" s="778"/>
      <c r="AF20" s="778"/>
      <c r="AG20" s="872"/>
      <c r="AH20" s="872"/>
      <c r="AI20" s="872"/>
      <c r="AJ20" s="872"/>
      <c r="AK20" s="872"/>
      <c r="AL20" s="872"/>
      <c r="AM20" s="872"/>
      <c r="AN20" s="872"/>
      <c r="AO20" s="872"/>
      <c r="AP20" s="872"/>
      <c r="AQ20" s="872"/>
      <c r="AR20" s="872"/>
      <c r="AS20" s="872"/>
      <c r="AT20" s="872"/>
      <c r="AU20" s="872"/>
      <c r="AV20" s="872"/>
      <c r="AW20" s="872"/>
      <c r="AX20" s="872"/>
      <c r="AY20" s="872"/>
      <c r="AZ20" s="872"/>
      <c r="BA20" s="872"/>
      <c r="BB20" s="872"/>
      <c r="BC20" s="872"/>
      <c r="BD20" s="872"/>
      <c r="BE20" s="872"/>
      <c r="BF20" s="872"/>
      <c r="BG20" s="872"/>
      <c r="BH20" s="872"/>
      <c r="BI20" s="872"/>
      <c r="BJ20" s="872"/>
      <c r="BK20" s="872"/>
      <c r="BL20" s="872"/>
      <c r="BM20" s="872"/>
      <c r="BN20" s="872"/>
      <c r="BO20" s="872"/>
      <c r="BP20" s="872"/>
      <c r="BQ20" s="872"/>
      <c r="BR20" s="872"/>
      <c r="BS20" s="872"/>
      <c r="BT20" s="872"/>
      <c r="BU20" s="872"/>
      <c r="BV20" s="778"/>
      <c r="BW20" s="778"/>
      <c r="BX20" s="778"/>
      <c r="BY20" s="778"/>
      <c r="BZ20" s="778"/>
      <c r="CA20" s="778"/>
      <c r="CB20" s="778"/>
      <c r="CC20" s="778"/>
      <c r="CD20" s="778"/>
      <c r="CE20" s="778"/>
    </row>
    <row s="31920" customFormat="1" customHeight="1" ht="11.25" hidden="1">
      <c r="A21" s="1069"/>
      <c r="B21" s="872"/>
      <c r="C21" s="872"/>
      <c r="D21" s="2641"/>
      <c r="E21" s="996"/>
      <c r="F21" s="996">
        <v>0</v>
      </c>
      <c r="G21" s="996"/>
      <c r="H21" s="996"/>
      <c r="I21" s="996"/>
      <c r="J21" s="996"/>
      <c r="K21" s="996"/>
      <c r="L21" s="996"/>
      <c r="M21" s="996"/>
      <c r="N21" s="996"/>
      <c r="O21" s="996"/>
      <c r="P21" s="996"/>
      <c r="Q21" s="996"/>
      <c r="R21" s="996"/>
      <c r="S21" s="997"/>
      <c r="T21" s="1079"/>
      <c r="U21" s="2646"/>
      <c r="V21" s="2646"/>
      <c r="W21" s="872"/>
      <c r="X21" s="872"/>
      <c r="Y21" s="872"/>
      <c r="Z21" s="872"/>
      <c r="AA21" s="872"/>
      <c r="AB21" s="778"/>
      <c r="AC21" s="1067"/>
      <c r="AD21" s="990"/>
      <c r="AE21" s="778"/>
      <c r="AF21" s="778"/>
      <c r="AG21" s="872"/>
      <c r="AH21" s="872"/>
      <c r="AI21" s="872"/>
      <c r="AJ21" s="872"/>
      <c r="AK21" s="872"/>
      <c r="AL21" s="872"/>
      <c r="AM21" s="872"/>
      <c r="AN21" s="872"/>
      <c r="AO21" s="872"/>
      <c r="AP21" s="872"/>
      <c r="AQ21" s="872"/>
      <c r="AR21" s="872"/>
      <c r="AS21" s="872"/>
      <c r="AT21" s="872"/>
      <c r="AU21" s="872"/>
      <c r="AV21" s="872"/>
      <c r="AW21" s="872"/>
      <c r="AX21" s="872"/>
      <c r="AY21" s="872"/>
      <c r="AZ21" s="872"/>
      <c r="BA21" s="872"/>
      <c r="BB21" s="872"/>
      <c r="BC21" s="872"/>
      <c r="BD21" s="872"/>
      <c r="BE21" s="872"/>
      <c r="BF21" s="872"/>
      <c r="BG21" s="872"/>
      <c r="BH21" s="872"/>
      <c r="BI21" s="872"/>
      <c r="BJ21" s="872"/>
      <c r="BK21" s="872"/>
      <c r="BL21" s="872"/>
      <c r="BM21" s="872"/>
      <c r="BN21" s="872"/>
      <c r="BO21" s="872"/>
      <c r="BP21" s="872"/>
      <c r="BQ21" s="872"/>
      <c r="BR21" s="872"/>
      <c r="BS21" s="872"/>
      <c r="BT21" s="872"/>
      <c r="BU21" s="872"/>
      <c r="BV21" s="872"/>
      <c r="BW21" s="872"/>
      <c r="BX21" s="872"/>
      <c r="BY21" s="872"/>
      <c r="BZ21" s="872"/>
      <c r="CA21" s="872"/>
      <c r="CB21" s="872"/>
      <c r="CC21" s="872"/>
      <c r="CD21" s="872"/>
      <c r="CE21" s="872"/>
    </row>
    <row s="31920" customFormat="1" customHeight="1" ht="11.25" hidden="1">
      <c r="A22" s="994"/>
      <c r="B22" s="778"/>
      <c r="C22" s="773"/>
      <c r="D22" s="2642"/>
      <c r="E22" s="1010" t="s">
        <v>24</v>
      </c>
      <c r="F22" s="1011" t="s">
        <v>24</v>
      </c>
      <c r="G22" s="1011" t="s">
        <v>24</v>
      </c>
      <c r="H22" s="1012" t="s">
        <v>24</v>
      </c>
      <c r="I22" s="1012"/>
      <c r="J22" s="1012"/>
      <c r="K22" s="1012"/>
      <c r="L22" s="1012"/>
      <c r="M22" s="1012"/>
      <c r="N22" s="1012"/>
      <c r="O22" s="1012"/>
      <c r="P22" s="1012"/>
      <c r="Q22" s="1012"/>
      <c r="R22" s="1013"/>
      <c r="S22" s="1382"/>
      <c r="T22" s="1079"/>
      <c r="U22" s="2646"/>
      <c r="V22" s="2646"/>
      <c r="W22" s="778"/>
      <c r="X22" s="778"/>
      <c r="Y22" s="778"/>
      <c r="Z22" s="778"/>
      <c r="AA22" s="872"/>
      <c r="AB22" s="778"/>
      <c r="AC22" s="1067"/>
      <c r="AD22" s="990"/>
      <c r="AE22" s="778"/>
      <c r="AF22" s="778"/>
      <c r="AG22" s="872"/>
      <c r="AH22" s="872"/>
      <c r="AI22" s="872"/>
      <c r="AJ22" s="872"/>
      <c r="AK22" s="872"/>
      <c r="AL22" s="872"/>
      <c r="AM22" s="872"/>
      <c r="AN22" s="872"/>
      <c r="AO22" s="872"/>
      <c r="AP22" s="872"/>
      <c r="AQ22" s="872"/>
      <c r="AR22" s="872"/>
      <c r="AS22" s="872"/>
      <c r="AT22" s="872"/>
      <c r="AU22" s="872"/>
      <c r="AV22" s="872"/>
      <c r="AW22" s="872"/>
      <c r="AX22" s="872"/>
      <c r="AY22" s="872"/>
      <c r="AZ22" s="872"/>
      <c r="BA22" s="872"/>
      <c r="BB22" s="872"/>
      <c r="BC22" s="872"/>
      <c r="BD22" s="872"/>
      <c r="BE22" s="872"/>
      <c r="BF22" s="872"/>
      <c r="BG22" s="872"/>
      <c r="BH22" s="872"/>
      <c r="BI22" s="872"/>
      <c r="BJ22" s="872"/>
      <c r="BK22" s="872"/>
      <c r="BL22" s="872"/>
      <c r="BM22" s="872"/>
      <c r="BN22" s="872"/>
      <c r="BO22" s="872"/>
      <c r="BP22" s="872"/>
      <c r="BQ22" s="872"/>
      <c r="BR22" s="872"/>
      <c r="BS22" s="872"/>
      <c r="BT22" s="872"/>
      <c r="BU22" s="872"/>
      <c r="BV22" s="778"/>
      <c r="BW22" s="778"/>
      <c r="BX22" s="778"/>
      <c r="BY22" s="778"/>
      <c r="BZ22" s="778"/>
      <c r="CA22" s="778"/>
      <c r="CB22" s="778"/>
      <c r="CC22" s="778"/>
      <c r="CD22" s="778"/>
      <c r="CE22" s="778"/>
    </row>
    <row customHeight="1" ht="18.75">
      <c r="D23" s="1409"/>
      <c r="E23" s="1409"/>
      <c r="F23" s="1409"/>
      <c r="G23" s="1409"/>
      <c r="H23" s="1409"/>
      <c r="I23" s="1409"/>
      <c r="J23" s="1409"/>
      <c r="K23" s="1409"/>
      <c r="L23" s="1409"/>
      <c r="M23" s="1409"/>
      <c r="N23" s="1409"/>
      <c r="O23" s="1409"/>
      <c r="P23" s="1409"/>
      <c r="Q23" s="1409"/>
      <c r="R23" s="1409"/>
      <c r="S23" s="1409"/>
      <c r="T23" s="695"/>
    </row>
    <row customHeight="1" ht="11.25">
      <c r="D24" s="870"/>
    </row>
    <row customHeight="1" ht="11.25">
      <c r="D25" s="1015"/>
      <c r="E25" s="1015"/>
      <c r="F25" s="1015"/>
      <c r="G25" s="1016"/>
    </row>
    <row r="27" customHeight="1" ht="11.25">
      <c r="D27" s="1017"/>
      <c r="E27" s="2644"/>
      <c r="F27" s="2644"/>
      <c r="G27" s="2644"/>
      <c r="H27" s="2644"/>
      <c r="I27" s="2644"/>
      <c r="J27" s="2644"/>
      <c r="K27" s="2644"/>
      <c r="L27" s="2644"/>
      <c r="M27" s="2644"/>
      <c r="N27" s="2644"/>
      <c r="O27" s="2644"/>
      <c r="P27" s="2644"/>
      <c r="Q27" s="2644"/>
      <c r="R27" s="2644"/>
    </row>
    <row customHeight="1" ht="11.25">
      <c r="F28" s="1119"/>
      <c r="G28" s="1119"/>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E15CBC-F962-3173-F1B5-FFB866FF4AD8}"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36868" width="10.7109375" hidden="1" customWidth="1"/>
    <col min="2" max="2" style="32217" width="16.8515625" hidden="1" customWidth="1"/>
    <col min="3" max="3" style="32341" width="5.57421875" hidden="1" customWidth="1"/>
    <col min="4" max="4" style="36869" width="3.7109375" customWidth="1"/>
    <col min="5" max="5" style="32343" width="7.7109375" customWidth="1"/>
    <col min="6" max="6" style="32343" width="56.140625" customWidth="1"/>
    <col min="7" max="7" style="32343" width="10.421875" customWidth="1"/>
    <col min="8" max="8" style="32343" width="40.7109375" hidden="1" customWidth="1"/>
    <col min="9" max="9" style="32343" width="40.7109375" customWidth="1"/>
    <col min="10" max="10" style="32343" width="102.8515625" customWidth="1"/>
    <col min="11" max="11" style="32217" width="9.7109375" customWidth="1"/>
    <col min="12" max="12" style="32341" width="5.28125" customWidth="1"/>
    <col min="13" max="13" style="32341" width="3.7109375" customWidth="1"/>
    <col min="14" max="17" style="32217" width="3.7109375" customWidth="1"/>
    <col min="18" max="18" style="32341" width="10.57421875" customWidth="1"/>
    <col min="19" max="19" style="32217" width="34.7109375" customWidth="1"/>
    <col min="20" max="20" style="32217" width="9.421875" customWidth="1"/>
    <col min="21" max="21" style="36870" width="9.140625"/>
    <col min="22" max="26" style="32217" width="9.140625"/>
    <col min="27" max="31" style="36772" width="9.140625"/>
  </cols>
  <sheetData>
    <row s="32217" customFormat="1" customHeight="1" ht="11.25" hidden="1">
      <c r="A1" s="1349"/>
      <c r="C1" s="2002"/>
      <c r="D1" s="898"/>
      <c r="H1" s="1523">
        <v>4</v>
      </c>
      <c r="I1" s="1523">
        <v>4</v>
      </c>
      <c r="L1" s="2002"/>
      <c r="M1" s="2002"/>
      <c r="R1" s="2002"/>
    </row>
    <row s="32217" customFormat="1" customHeight="1" ht="22.5" hidden="1">
      <c r="A2" s="1349"/>
      <c r="C2" s="2002"/>
      <c r="D2" s="899"/>
      <c r="E2" s="2003"/>
      <c r="F2" s="901"/>
      <c r="G2" s="2005" t="s">
        <v>593</v>
      </c>
      <c r="H2" s="902"/>
      <c r="I2" s="902"/>
      <c r="J2" s="903" t="s">
        <v>656</v>
      </c>
      <c r="K2" s="904"/>
      <c r="L2" s="2002"/>
      <c r="M2" s="2002"/>
      <c r="R2" s="2002"/>
      <c r="U2" s="905"/>
      <c r="AA2" s="1998"/>
      <c r="AB2" s="1998"/>
      <c r="AC2" s="1998"/>
      <c r="AD2" s="1998"/>
      <c r="AE2" s="1998"/>
    </row>
    <row customHeight="1" ht="11.25" hidden="1"/>
    <row s="36772" customFormat="1" customHeight="1" ht="11.25" hidden="1">
      <c r="A4" s="1349"/>
      <c r="B4" s="1523"/>
      <c r="C4" s="2002"/>
      <c r="D4" s="723"/>
      <c r="J4" s="1998">
        <v>4</v>
      </c>
      <c r="K4" s="1523"/>
      <c r="L4" s="2002"/>
      <c r="M4" s="2002"/>
      <c r="N4" s="1523"/>
      <c r="O4" s="1523"/>
      <c r="P4" s="1523"/>
      <c r="Q4" s="1523"/>
      <c r="R4" s="2002"/>
      <c r="S4" s="1523"/>
      <c r="T4" s="1523"/>
      <c r="U4" s="905"/>
      <c r="V4" s="1523"/>
      <c r="W4" s="1523"/>
      <c r="X4" s="1523"/>
      <c r="Y4" s="1523"/>
      <c r="Z4" s="1523"/>
    </row>
    <row r="6" customHeight="1" ht="22.5">
      <c r="E6" s="2573" t="s">
        <v>657</v>
      </c>
      <c r="F6" s="2573"/>
      <c r="G6" s="2573"/>
      <c r="H6" s="2573"/>
      <c r="I6" s="2573"/>
      <c r="J6" s="917"/>
    </row>
    <row customHeight="1" ht="24">
      <c r="E7" s="2561" t="str">
        <f>IF(org=0,"Не определено",org)</f>
        <v>АО "Мурманэнергосбыт"</v>
      </c>
      <c r="F7" s="2561"/>
      <c r="G7" s="2561"/>
      <c r="H7" s="2561"/>
      <c r="I7" s="2561"/>
    </row>
    <row customHeight="1" ht="11.25">
      <c r="E8" s="1498"/>
      <c r="F8" s="1498"/>
      <c r="G8" s="1498"/>
      <c r="H8" s="1498"/>
      <c r="I8" s="1498"/>
    </row>
    <row s="32341" customFormat="1" customHeight="1" ht="0.75">
      <c r="A9" s="1530"/>
      <c r="D9" s="2008"/>
      <c r="H9" s="1250"/>
      <c r="I9" s="1250" t="s">
        <v>125</v>
      </c>
    </row>
    <row customHeight="1" ht="11.25">
      <c r="E10" s="1072"/>
      <c r="F10" s="2636" t="s">
        <v>114</v>
      </c>
      <c r="G10" s="2637"/>
      <c r="H10" s="1918" t="str">
        <f>IF(H9="","",INDEX(DIFFERENTIATION_UNMERGE_VD,MATCH(H9,DIFFERENTIATION_ID_DIFF,0)))</f>
        <v/>
      </c>
      <c r="I10" s="1918">
        <f>IF(I9="","",INDEX(DIFFERENTIATION_UNMERGE_VD,MATCH(I9,DIFFERENTIATION_ID_DIFF,0)))</f>
        <v>0</v>
      </c>
      <c r="J10" s="2392"/>
    </row>
    <row customHeight="1" ht="11.25">
      <c r="E11" s="1072"/>
      <c r="F11" s="2636" t="s">
        <v>605</v>
      </c>
      <c r="G11" s="2637"/>
      <c r="H11" s="1918" t="str">
        <f>IF(H9="","",INDEX(DIFFERENTIATION_UNMERGE_AREA,MATCH(H9,DIFFERENTIATION_ID_DIFF,0)))</f>
        <v/>
      </c>
      <c r="I11" s="1918" t="str">
        <f>IF(I9="","",INDEX(DIFFERENTIATION_UNMERGE_AREA,MATCH(I9,DIFFERENTIATION_ID_DIFF,0)))</f>
        <v/>
      </c>
      <c r="J11" s="2392"/>
    </row>
    <row customHeight="1" ht="11.25" hidden="1">
      <c r="E12" s="2028"/>
      <c r="F12" s="2651" t="s">
        <v>606</v>
      </c>
      <c r="G12" s="2652"/>
      <c r="H12" s="2029" t="str">
        <f>IF(H9="","",INDEX(DIFFERENTIATION_UNMERGE_SYSTEM,MATCH(H9,DIFFERENTIATION_ID_DIFF,0)))</f>
        <v/>
      </c>
      <c r="I12" s="2029" t="str">
        <f>IF(I9="","",INDEX(DIFFERENTIATION_UNMERGE_SYSTEM,MATCH(I9,DIFFERENTIATION_ID_DIFF,0)))</f>
        <v>без дифференциации</v>
      </c>
      <c r="J12" s="2392"/>
    </row>
    <row customHeight="1" ht="11.25">
      <c r="E13" s="2638" t="s">
        <v>341</v>
      </c>
      <c r="F13" s="2639"/>
      <c r="G13" s="2639"/>
      <c r="H13" s="1917"/>
      <c r="I13" s="1917"/>
      <c r="J13" s="2392"/>
    </row>
    <row customHeight="1" ht="22.5">
      <c r="E14" s="2005" t="s">
        <v>87</v>
      </c>
      <c r="F14" s="2000" t="s">
        <v>343</v>
      </c>
      <c r="G14" s="2000" t="s">
        <v>607</v>
      </c>
      <c r="H14" s="2000" t="s">
        <v>344</v>
      </c>
      <c r="I14" s="2000" t="s">
        <v>344</v>
      </c>
      <c r="J14" s="2392"/>
    </row>
    <row customHeight="1" ht="18.75">
      <c r="D15" s="2004"/>
      <c r="E15" s="1996" t="s">
        <v>118</v>
      </c>
      <c r="F15" s="1068" t="s">
        <v>658</v>
      </c>
      <c r="G15" s="2012" t="s">
        <v>593</v>
      </c>
      <c r="H15" s="918"/>
      <c r="I15" s="918"/>
      <c r="J15" s="650" t="s">
        <v>659</v>
      </c>
      <c r="K15" s="904" t="s">
        <v>660</v>
      </c>
    </row>
    <row customHeight="1" ht="33.75">
      <c r="D16" s="2004"/>
      <c r="E16" s="1996" t="s">
        <v>102</v>
      </c>
      <c r="F16" s="1068" t="s">
        <v>661</v>
      </c>
      <c r="G16" s="2012" t="s">
        <v>593</v>
      </c>
      <c r="H16" s="919">
        <f>SUM(H17,H20:H32)</f>
        <v>0</v>
      </c>
      <c r="I16" s="919">
        <f>SUM(I17,I20:I32)</f>
        <v>0</v>
      </c>
      <c r="J16" s="650" t="s">
        <v>662</v>
      </c>
      <c r="K16" s="904" t="s">
        <v>660</v>
      </c>
    </row>
    <row customHeight="1" ht="18.75">
      <c r="D17" s="2004"/>
      <c r="E17" s="2030" t="s">
        <v>663</v>
      </c>
      <c r="F17" s="1316" t="s">
        <v>664</v>
      </c>
      <c r="G17" s="2009" t="s">
        <v>593</v>
      </c>
      <c r="H17" s="918"/>
      <c r="I17" s="918"/>
      <c r="J17" s="650" t="s">
        <v>665</v>
      </c>
      <c r="K17" s="904"/>
    </row>
    <row customHeight="1" ht="22.5">
      <c r="D18" s="2004"/>
      <c r="E18" s="2030" t="s">
        <v>666</v>
      </c>
      <c r="F18" s="2016" t="s">
        <v>667</v>
      </c>
      <c r="G18" s="2009" t="s">
        <v>593</v>
      </c>
      <c r="H18" s="918"/>
      <c r="I18" s="918"/>
      <c r="J18" s="650" t="s">
        <v>668</v>
      </c>
      <c r="K18" s="904"/>
    </row>
    <row customHeight="1" ht="33.75">
      <c r="D19" s="2004"/>
      <c r="E19" s="2030" t="s">
        <v>669</v>
      </c>
      <c r="F19" s="2016" t="s">
        <v>670</v>
      </c>
      <c r="G19" s="2009" t="s">
        <v>593</v>
      </c>
      <c r="H19" s="918"/>
      <c r="I19" s="918"/>
      <c r="J19" s="650"/>
      <c r="K19" s="904"/>
    </row>
    <row customHeight="1" ht="18.75">
      <c r="D20" s="2004"/>
      <c r="E20" s="2030" t="s">
        <v>348</v>
      </c>
      <c r="F20" s="1316" t="s">
        <v>671</v>
      </c>
      <c r="G20" s="2009" t="s">
        <v>593</v>
      </c>
      <c r="H20" s="918"/>
      <c r="I20" s="918"/>
      <c r="J20" s="650" t="s">
        <v>672</v>
      </c>
      <c r="K20" s="904"/>
    </row>
    <row customHeight="1" ht="18.75">
      <c r="D21" s="2004"/>
      <c r="E21" s="2030" t="s">
        <v>673</v>
      </c>
      <c r="F21" s="2016" t="s">
        <v>674</v>
      </c>
      <c r="G21" s="2009" t="s">
        <v>593</v>
      </c>
      <c r="H21" s="918"/>
      <c r="I21" s="918"/>
      <c r="J21" s="650"/>
      <c r="K21" s="904"/>
    </row>
    <row customHeight="1" ht="18.75">
      <c r="D22" s="2004"/>
      <c r="E22" s="2030" t="s">
        <v>675</v>
      </c>
      <c r="F22" s="2016" t="s">
        <v>676</v>
      </c>
      <c r="G22" s="2009" t="s">
        <v>593</v>
      </c>
      <c r="H22" s="918"/>
      <c r="I22" s="918"/>
      <c r="J22" s="650"/>
      <c r="K22" s="904"/>
    </row>
    <row customHeight="1" ht="22.5">
      <c r="D23" s="2004"/>
      <c r="E23" s="2030" t="s">
        <v>351</v>
      </c>
      <c r="F23" s="1316" t="s">
        <v>677</v>
      </c>
      <c r="G23" s="2009" t="s">
        <v>593</v>
      </c>
      <c r="H23" s="918"/>
      <c r="I23" s="918"/>
      <c r="J23" s="650" t="s">
        <v>678</v>
      </c>
      <c r="K23" s="904"/>
    </row>
    <row customHeight="1" ht="18.75">
      <c r="D24" s="2004"/>
      <c r="E24" s="2030" t="s">
        <v>679</v>
      </c>
      <c r="F24" s="2016" t="s">
        <v>680</v>
      </c>
      <c r="G24" s="2009" t="s">
        <v>593</v>
      </c>
      <c r="H24" s="918"/>
      <c r="I24" s="918"/>
      <c r="J24" s="650"/>
      <c r="K24" s="904"/>
    </row>
    <row customHeight="1" ht="33.75">
      <c r="D25" s="2004"/>
      <c r="E25" s="2030" t="s">
        <v>681</v>
      </c>
      <c r="F25" s="2016" t="s">
        <v>682</v>
      </c>
      <c r="G25" s="2009" t="s">
        <v>593</v>
      </c>
      <c r="H25" s="918"/>
      <c r="I25" s="918"/>
      <c r="J25" s="650"/>
      <c r="K25" s="904"/>
    </row>
    <row customHeight="1" ht="22.5">
      <c r="D26" s="2004"/>
      <c r="E26" s="2030" t="s">
        <v>683</v>
      </c>
      <c r="F26" s="1316" t="s">
        <v>684</v>
      </c>
      <c r="G26" s="2009" t="s">
        <v>593</v>
      </c>
      <c r="H26" s="918"/>
      <c r="I26" s="918"/>
      <c r="J26" s="650" t="s">
        <v>685</v>
      </c>
      <c r="K26" s="904"/>
    </row>
    <row customHeight="1" ht="18.75">
      <c r="D27" s="2004"/>
      <c r="E27" s="2041" t="s">
        <v>686</v>
      </c>
      <c r="F27" s="2016" t="s">
        <v>687</v>
      </c>
      <c r="G27" s="2020" t="s">
        <v>593</v>
      </c>
      <c r="H27" s="2042"/>
      <c r="I27" s="2042"/>
      <c r="J27" s="650"/>
      <c r="K27" s="904"/>
    </row>
    <row customHeight="1" ht="18.75">
      <c r="D28" s="2004"/>
      <c r="E28" s="2041" t="s">
        <v>688</v>
      </c>
      <c r="F28" s="2016" t="s">
        <v>689</v>
      </c>
      <c r="G28" s="2020" t="s">
        <v>593</v>
      </c>
      <c r="H28" s="2042"/>
      <c r="I28" s="2042"/>
      <c r="J28" s="650"/>
      <c r="K28" s="904"/>
    </row>
    <row customHeight="1" ht="18.75">
      <c r="D29" s="2004"/>
      <c r="E29" s="2041" t="s">
        <v>690</v>
      </c>
      <c r="F29" s="1316" t="s">
        <v>691</v>
      </c>
      <c r="G29" s="2020" t="s">
        <v>593</v>
      </c>
      <c r="H29" s="2042"/>
      <c r="I29" s="2042"/>
      <c r="J29" s="650"/>
      <c r="K29" s="904"/>
    </row>
    <row customHeight="1" ht="18.75">
      <c r="D30" s="2004"/>
      <c r="E30" s="2041" t="s">
        <v>692</v>
      </c>
      <c r="F30" s="1316" t="s">
        <v>693</v>
      </c>
      <c r="G30" s="2020" t="s">
        <v>593</v>
      </c>
      <c r="H30" s="2042"/>
      <c r="I30" s="2042"/>
      <c r="J30" s="650"/>
      <c r="K30" s="904"/>
    </row>
    <row customHeight="1" ht="18.75">
      <c r="D31" s="2004"/>
      <c r="E31" s="2041" t="s">
        <v>694</v>
      </c>
      <c r="F31" s="1316" t="s">
        <v>695</v>
      </c>
      <c r="G31" s="2020" t="s">
        <v>593</v>
      </c>
      <c r="H31" s="2042"/>
      <c r="I31" s="2042"/>
      <c r="J31" s="650"/>
      <c r="K31" s="904"/>
    </row>
    <row s="32217" customFormat="1" customHeight="1" ht="22.5">
      <c r="A32" s="1349"/>
      <c r="C32" s="2002"/>
      <c r="D32" s="2004"/>
      <c r="E32" s="2041" t="s">
        <v>696</v>
      </c>
      <c r="F32" s="1316" t="s">
        <v>697</v>
      </c>
      <c r="G32" s="2010" t="s">
        <v>593</v>
      </c>
      <c r="H32" s="940">
        <f>SUM(H33:H34)</f>
        <v>0</v>
      </c>
      <c r="I32" s="940">
        <f>SUM(I33:I34)</f>
        <v>0</v>
      </c>
      <c r="J32" s="650" t="s">
        <v>698</v>
      </c>
      <c r="K32" s="904"/>
      <c r="L32" s="2002"/>
      <c r="M32" s="2002"/>
      <c r="R32" s="2002"/>
      <c r="U32" s="905"/>
      <c r="AA32" s="1998"/>
      <c r="AB32" s="1998"/>
      <c r="AC32" s="1998"/>
      <c r="AD32" s="1998"/>
      <c r="AE32" s="1998"/>
    </row>
    <row s="32341" customFormat="1" customHeight="1" ht="0.75">
      <c r="A33" s="1530"/>
      <c r="D33" s="909"/>
      <c r="E33" s="1163" t="str">
        <f>E32&amp;".0"</f>
        <v>2.8.0</v>
      </c>
      <c r="F33" s="1353"/>
      <c r="G33" s="912"/>
      <c r="H33" s="1354"/>
      <c r="I33" s="1354"/>
      <c r="J33" s="1355"/>
    </row>
    <row s="32217" customFormat="1" customHeight="1" ht="18.75">
      <c r="A34" s="1349"/>
      <c r="C34" s="2002"/>
      <c r="D34" s="1999"/>
      <c r="E34" s="931"/>
      <c r="F34" s="2032" t="s">
        <v>618</v>
      </c>
      <c r="G34" s="933"/>
      <c r="H34" s="934"/>
      <c r="I34" s="934"/>
      <c r="J34" s="662" t="s">
        <v>699</v>
      </c>
      <c r="K34" s="904"/>
      <c r="L34" s="2002"/>
      <c r="M34" s="2002"/>
      <c r="R34" s="2002"/>
      <c r="U34" s="905"/>
      <c r="AA34" s="1998"/>
      <c r="AB34" s="1998"/>
      <c r="AC34" s="1998"/>
      <c r="AD34" s="1998"/>
      <c r="AE34" s="1998"/>
    </row>
    <row customHeight="1" ht="56.25">
      <c r="D35" s="2004"/>
      <c r="E35" s="2041" t="s">
        <v>700</v>
      </c>
      <c r="F35" s="1316" t="s">
        <v>701</v>
      </c>
      <c r="G35" s="2020" t="s">
        <v>593</v>
      </c>
      <c r="H35" s="2042"/>
      <c r="I35" s="2042"/>
      <c r="J35" s="650" t="s">
        <v>702</v>
      </c>
      <c r="K35" s="904"/>
    </row>
    <row s="32217" customFormat="1" customHeight="1" ht="22.5">
      <c r="A36" s="1351" t="s">
        <v>619</v>
      </c>
      <c r="C36" s="2002"/>
      <c r="D36" s="2004"/>
      <c r="E36" s="2030" t="s">
        <v>89</v>
      </c>
      <c r="F36" s="1068" t="s">
        <v>703</v>
      </c>
      <c r="G36" s="2009" t="s">
        <v>593</v>
      </c>
      <c r="H36" s="918"/>
      <c r="I36" s="918"/>
      <c r="J36" s="650" t="s">
        <v>704</v>
      </c>
      <c r="K36" s="904"/>
      <c r="L36" s="2002"/>
      <c r="M36" s="2002"/>
      <c r="R36" s="2002"/>
      <c r="U36" s="905"/>
      <c r="AA36" s="1998"/>
      <c r="AB36" s="1998"/>
      <c r="AC36" s="1998"/>
      <c r="AD36" s="1998"/>
      <c r="AE36" s="1998"/>
    </row>
    <row s="32217" customFormat="1" customHeight="1" ht="22.5">
      <c r="A37" s="1351"/>
      <c r="C37" s="2002"/>
      <c r="D37" s="2004"/>
      <c r="E37" s="2030" t="s">
        <v>365</v>
      </c>
      <c r="F37" s="1316" t="s">
        <v>705</v>
      </c>
      <c r="G37" s="2020"/>
      <c r="H37" s="918"/>
      <c r="I37" s="918"/>
      <c r="J37" s="650"/>
      <c r="K37" s="904"/>
      <c r="L37" s="2002"/>
      <c r="M37" s="2002"/>
      <c r="R37" s="2002"/>
      <c r="U37" s="905"/>
      <c r="AA37" s="1998"/>
      <c r="AB37" s="1998"/>
      <c r="AC37" s="1998"/>
      <c r="AD37" s="1998"/>
      <c r="AE37" s="1998"/>
    </row>
    <row s="32217" customFormat="1" customHeight="1" ht="18.75">
      <c r="A38" s="1349"/>
      <c r="C38" s="2002"/>
      <c r="D38" s="936"/>
      <c r="E38" s="2030" t="s">
        <v>90</v>
      </c>
      <c r="F38" s="1068" t="s">
        <v>706</v>
      </c>
      <c r="G38" s="2009" t="s">
        <v>593</v>
      </c>
      <c r="H38" s="918"/>
      <c r="I38" s="918"/>
      <c r="J38" s="650" t="s">
        <v>707</v>
      </c>
      <c r="K38" s="904"/>
      <c r="L38" s="2002"/>
      <c r="M38" s="2002"/>
      <c r="R38" s="2002"/>
      <c r="U38" s="905"/>
      <c r="AA38" s="1998"/>
      <c r="AB38" s="1998"/>
      <c r="AC38" s="1998"/>
      <c r="AD38" s="1998"/>
      <c r="AE38" s="1998"/>
    </row>
    <row s="32217" customFormat="1" customHeight="1" ht="22.5">
      <c r="A39" s="1349"/>
      <c r="C39" s="2002"/>
      <c r="D39" s="936"/>
      <c r="E39" s="2030" t="s">
        <v>708</v>
      </c>
      <c r="F39" s="1316" t="s">
        <v>709</v>
      </c>
      <c r="G39" s="2020" t="s">
        <v>593</v>
      </c>
      <c r="H39" s="918"/>
      <c r="I39" s="918"/>
      <c r="J39" s="650" t="s">
        <v>710</v>
      </c>
      <c r="K39" s="904"/>
      <c r="L39" s="2002"/>
      <c r="M39" s="2002"/>
      <c r="R39" s="2002"/>
      <c r="U39" s="905"/>
      <c r="AA39" s="1998"/>
      <c r="AB39" s="1998"/>
      <c r="AC39" s="1998"/>
      <c r="AD39" s="1998"/>
      <c r="AE39" s="1998"/>
    </row>
    <row s="32217" customFormat="1" customHeight="1" ht="22.5">
      <c r="A40" s="1349"/>
      <c r="C40" s="2002"/>
      <c r="D40" s="2004"/>
      <c r="E40" s="2030" t="s">
        <v>711</v>
      </c>
      <c r="F40" s="2016" t="s">
        <v>712</v>
      </c>
      <c r="G40" s="2009" t="s">
        <v>593</v>
      </c>
      <c r="H40" s="918"/>
      <c r="I40" s="918"/>
      <c r="J40" s="650" t="s">
        <v>713</v>
      </c>
      <c r="K40" s="904"/>
      <c r="L40" s="2002"/>
      <c r="M40" s="2002"/>
      <c r="R40" s="2002"/>
      <c r="U40" s="905"/>
      <c r="AA40" s="1998"/>
      <c r="AB40" s="1998"/>
      <c r="AC40" s="1998"/>
      <c r="AD40" s="1998"/>
      <c r="AE40" s="1998"/>
    </row>
    <row s="32217" customFormat="1" customHeight="1" ht="22.5">
      <c r="A41" s="1349"/>
      <c r="C41" s="2002"/>
      <c r="D41" s="2004"/>
      <c r="E41" s="2030" t="s">
        <v>714</v>
      </c>
      <c r="F41" s="2016" t="s">
        <v>715</v>
      </c>
      <c r="G41" s="2009" t="s">
        <v>593</v>
      </c>
      <c r="H41" s="918"/>
      <c r="I41" s="918"/>
      <c r="J41" s="650" t="s">
        <v>716</v>
      </c>
      <c r="K41" s="904"/>
      <c r="L41" s="2002"/>
      <c r="M41" s="2002"/>
      <c r="R41" s="2002"/>
      <c r="U41" s="905"/>
      <c r="AA41" s="1998"/>
      <c r="AB41" s="1998"/>
      <c r="AC41" s="1998"/>
      <c r="AD41" s="1998"/>
      <c r="AE41" s="1998"/>
    </row>
    <row s="32217" customFormat="1" customHeight="1" ht="22.5">
      <c r="A42" s="1349"/>
      <c r="C42" s="2002"/>
      <c r="D42" s="2004"/>
      <c r="E42" s="2030" t="s">
        <v>717</v>
      </c>
      <c r="F42" s="2016" t="s">
        <v>718</v>
      </c>
      <c r="G42" s="2009" t="s">
        <v>593</v>
      </c>
      <c r="H42" s="918"/>
      <c r="I42" s="918"/>
      <c r="J42" s="650" t="s">
        <v>719</v>
      </c>
      <c r="K42" s="904"/>
      <c r="L42" s="2002"/>
      <c r="M42" s="2002"/>
      <c r="R42" s="2002"/>
      <c r="U42" s="905"/>
      <c r="AA42" s="1998"/>
      <c r="AB42" s="1998"/>
      <c r="AC42" s="1998"/>
      <c r="AD42" s="1998"/>
      <c r="AE42" s="1998"/>
    </row>
    <row s="32217" customFormat="1" customHeight="1" ht="33.75">
      <c r="A43" s="1349"/>
      <c r="C43" s="2002" t="s">
        <v>629</v>
      </c>
      <c r="D43" s="2004"/>
      <c r="E43" s="2030" t="s">
        <v>119</v>
      </c>
      <c r="F43" s="1068" t="s">
        <v>720</v>
      </c>
      <c r="G43" s="2012" t="s">
        <v>721</v>
      </c>
      <c r="H43" s="762"/>
      <c r="I43" s="762"/>
      <c r="J43" s="650" t="s">
        <v>722</v>
      </c>
      <c r="K43" s="904"/>
      <c r="L43" s="2002"/>
      <c r="M43" s="2002"/>
      <c r="R43" s="2002"/>
      <c r="U43" s="905"/>
      <c r="AA43" s="1998"/>
      <c r="AB43" s="1998"/>
      <c r="AC43" s="1998"/>
      <c r="AD43" s="1998"/>
      <c r="AE43" s="1998"/>
    </row>
    <row s="32217" customFormat="1" customHeight="1" ht="22.5">
      <c r="A44" s="1349"/>
      <c r="C44" s="2002"/>
      <c r="D44" s="2004"/>
      <c r="E44" s="2030" t="s">
        <v>91</v>
      </c>
      <c r="F44" s="1068" t="s">
        <v>723</v>
      </c>
      <c r="G44" s="2009" t="s">
        <v>724</v>
      </c>
      <c r="H44" s="906"/>
      <c r="I44" s="906"/>
      <c r="J44" s="650" t="s">
        <v>725</v>
      </c>
      <c r="K44" s="904"/>
      <c r="L44" s="2002"/>
      <c r="M44" s="2002"/>
      <c r="R44" s="2002"/>
      <c r="U44" s="905"/>
      <c r="AA44" s="1998"/>
      <c r="AB44" s="1998"/>
      <c r="AC44" s="1998"/>
      <c r="AD44" s="1998"/>
      <c r="AE44" s="1998"/>
    </row>
    <row s="32217" customFormat="1" customHeight="1" ht="22.5">
      <c r="A45" s="1349"/>
      <c r="C45" s="2002"/>
      <c r="D45" s="2004"/>
      <c r="E45" s="2030" t="s">
        <v>92</v>
      </c>
      <c r="F45" s="1068" t="s">
        <v>726</v>
      </c>
      <c r="G45" s="2020" t="s">
        <v>727</v>
      </c>
      <c r="H45" s="906"/>
      <c r="I45" s="906"/>
      <c r="J45" s="650" t="s">
        <v>728</v>
      </c>
      <c r="K45" s="904"/>
      <c r="L45" s="2002"/>
      <c r="M45" s="2002"/>
      <c r="R45" s="2002"/>
      <c r="U45" s="905"/>
      <c r="AA45" s="1998"/>
      <c r="AB45" s="1998"/>
      <c r="AC45" s="1998"/>
      <c r="AD45" s="1998"/>
      <c r="AE45" s="1998"/>
    </row>
    <row s="32217" customFormat="1" customHeight="1" ht="18.75">
      <c r="A46" s="1349"/>
      <c r="C46" s="2002"/>
      <c r="D46" s="2004"/>
      <c r="E46" s="2030" t="s">
        <v>120</v>
      </c>
      <c r="F46" s="1068" t="s">
        <v>729</v>
      </c>
      <c r="G46" s="2009" t="s">
        <v>631</v>
      </c>
      <c r="H46" s="938"/>
      <c r="I46" s="938"/>
      <c r="J46" s="650"/>
      <c r="K46" s="904"/>
      <c r="L46" s="2002"/>
      <c r="M46" s="2002"/>
      <c r="R46" s="2002"/>
      <c r="U46" s="905"/>
      <c r="AA46" s="1998"/>
      <c r="AB46" s="1998"/>
      <c r="AC46" s="1998"/>
      <c r="AD46" s="1998"/>
      <c r="AE46" s="1998"/>
    </row>
    <row customHeight="1" ht="11.25">
      <c r="D47" s="2004"/>
    </row>
    <row customHeight="1" ht="26.25">
      <c r="D48" s="2004"/>
      <c r="E48" s="1618"/>
      <c r="F48" s="2526"/>
      <c r="G48" s="2526"/>
      <c r="H48" s="2526"/>
      <c r="I48" s="2526"/>
      <c r="J48" s="2526"/>
    </row>
    <row s="32338" customFormat="1" customHeight="1" ht="37.5">
      <c r="A49" s="1349"/>
      <c r="B49" s="2002"/>
      <c r="C49" s="2002"/>
      <c r="D49" s="712"/>
      <c r="F49" s="2526"/>
      <c r="G49" s="2526"/>
      <c r="H49" s="2526"/>
      <c r="I49" s="2526"/>
      <c r="J49" s="2526"/>
      <c r="K49" s="1523"/>
      <c r="L49" s="2002"/>
      <c r="M49" s="2002"/>
      <c r="N49" s="1523"/>
      <c r="O49" s="1523"/>
      <c r="P49" s="1523"/>
      <c r="Q49" s="1523"/>
      <c r="R49" s="2002"/>
      <c r="S49" s="1523"/>
      <c r="T49" s="1523"/>
      <c r="U49" s="905"/>
      <c r="V49" s="1523"/>
      <c r="W49" s="1523"/>
      <c r="X49" s="1523"/>
      <c r="Y49" s="1523"/>
      <c r="Z49" s="1523"/>
      <c r="AA49" s="1998"/>
      <c r="AB49" s="927"/>
      <c r="AC49" s="927"/>
      <c r="AD49" s="927"/>
      <c r="AE49" s="927"/>
    </row>
    <row s="32338" customFormat="1" customHeight="1" ht="11.25">
      <c r="A50" s="1349"/>
      <c r="B50" s="2002"/>
      <c r="C50" s="2002"/>
      <c r="D50" s="712"/>
      <c r="K50" s="1523"/>
      <c r="L50" s="2002"/>
      <c r="M50" s="2002"/>
      <c r="N50" s="1523"/>
      <c r="O50" s="1523"/>
      <c r="P50" s="1523"/>
      <c r="Q50" s="1523"/>
      <c r="R50" s="2002"/>
      <c r="S50" s="1523"/>
      <c r="T50" s="1523"/>
      <c r="U50" s="905"/>
      <c r="V50" s="1523"/>
      <c r="W50" s="1523"/>
      <c r="X50" s="1523"/>
      <c r="Y50" s="1523"/>
      <c r="Z50" s="1523"/>
      <c r="AA50" s="1998"/>
      <c r="AB50" s="927"/>
      <c r="AC50" s="927"/>
      <c r="AD50" s="927"/>
      <c r="AE50" s="927"/>
    </row>
    <row s="32338" customFormat="1" customHeight="1" ht="11.25">
      <c r="A51" s="1349"/>
      <c r="B51" s="2002"/>
      <c r="C51" s="2002"/>
      <c r="D51" s="712"/>
      <c r="K51" s="1523"/>
      <c r="L51" s="2002"/>
      <c r="M51" s="2002"/>
      <c r="N51" s="1523"/>
      <c r="O51" s="1523"/>
      <c r="P51" s="1523"/>
      <c r="Q51" s="1523"/>
      <c r="R51" s="2002"/>
      <c r="S51" s="1523"/>
      <c r="T51" s="1523"/>
      <c r="U51" s="905"/>
      <c r="V51" s="1523"/>
      <c r="W51" s="1523"/>
      <c r="X51" s="1523"/>
      <c r="Y51" s="1523"/>
      <c r="Z51" s="1523"/>
      <c r="AA51" s="1998"/>
      <c r="AB51" s="927"/>
      <c r="AC51" s="927"/>
      <c r="AD51" s="927"/>
      <c r="AE51" s="927"/>
    </row>
    <row s="32338" customFormat="1" customHeight="1" ht="11.25">
      <c r="A52" s="1349"/>
      <c r="B52" s="2002"/>
      <c r="C52" s="2002"/>
      <c r="D52" s="712"/>
      <c r="H52" s="927"/>
      <c r="I52" s="927"/>
      <c r="K52" s="1523"/>
      <c r="L52" s="2002"/>
      <c r="M52" s="2002"/>
      <c r="N52" s="1523"/>
      <c r="O52" s="1523"/>
      <c r="P52" s="1523"/>
      <c r="Q52" s="1523"/>
      <c r="R52" s="2002"/>
      <c r="S52" s="1523"/>
      <c r="T52" s="1523"/>
      <c r="U52" s="905"/>
      <c r="V52" s="1523"/>
      <c r="W52" s="1523"/>
      <c r="X52" s="1523"/>
      <c r="Y52" s="1523"/>
      <c r="Z52" s="1523"/>
      <c r="AA52" s="1998"/>
      <c r="AB52" s="927"/>
      <c r="AC52" s="927"/>
      <c r="AD52" s="927"/>
      <c r="AE52" s="927"/>
    </row>
    <row s="32338" customFormat="1" customHeight="1" ht="11.25">
      <c r="A53" s="1349"/>
      <c r="B53" s="2002"/>
      <c r="C53" s="2002"/>
      <c r="D53" s="712"/>
      <c r="K53" s="1523"/>
      <c r="L53" s="2002"/>
      <c r="M53" s="2002"/>
      <c r="N53" s="1523"/>
      <c r="O53" s="1523"/>
      <c r="P53" s="1523"/>
      <c r="Q53" s="1523"/>
      <c r="R53" s="2002"/>
      <c r="S53" s="1523"/>
      <c r="T53" s="1523"/>
      <c r="U53" s="905"/>
      <c r="V53" s="1523"/>
      <c r="W53" s="1523"/>
      <c r="X53" s="1523"/>
      <c r="Y53" s="1523"/>
      <c r="Z53" s="1523"/>
      <c r="AA53" s="1998"/>
      <c r="AB53" s="927"/>
      <c r="AC53" s="927"/>
      <c r="AD53" s="927"/>
      <c r="AE53" s="927"/>
    </row>
    <row s="32338" customFormat="1" customHeight="1" ht="11.25">
      <c r="A54" s="1349"/>
      <c r="B54" s="2002"/>
      <c r="C54" s="2002"/>
      <c r="D54" s="712"/>
      <c r="K54" s="1523"/>
      <c r="L54" s="2002"/>
      <c r="M54" s="2002"/>
      <c r="N54" s="1523"/>
      <c r="O54" s="1523"/>
      <c r="P54" s="1523"/>
      <c r="Q54" s="1523"/>
      <c r="R54" s="2002"/>
      <c r="S54" s="1523"/>
      <c r="T54" s="1523"/>
      <c r="U54" s="905"/>
      <c r="V54" s="1523"/>
      <c r="W54" s="1523"/>
      <c r="X54" s="1523"/>
      <c r="Y54" s="1523"/>
      <c r="Z54" s="1523"/>
      <c r="AA54" s="1998"/>
      <c r="AB54" s="927"/>
      <c r="AC54" s="927"/>
      <c r="AD54" s="927"/>
      <c r="AE54" s="927"/>
    </row>
    <row s="32338" customFormat="1" customHeight="1" ht="11.25">
      <c r="A55" s="1349"/>
      <c r="B55" s="2002"/>
      <c r="C55" s="2002"/>
      <c r="D55" s="712"/>
      <c r="K55" s="1523"/>
      <c r="L55" s="2002"/>
      <c r="M55" s="2002"/>
      <c r="N55" s="1523"/>
      <c r="O55" s="1523"/>
      <c r="P55" s="1523"/>
      <c r="Q55" s="1523"/>
      <c r="R55" s="2002"/>
      <c r="S55" s="1523"/>
      <c r="T55" s="1523"/>
      <c r="U55" s="905"/>
      <c r="V55" s="1523"/>
      <c r="W55" s="1523"/>
      <c r="X55" s="1523"/>
      <c r="Y55" s="1523"/>
      <c r="Z55" s="1523"/>
      <c r="AA55" s="1998"/>
      <c r="AB55" s="927"/>
      <c r="AC55" s="927"/>
      <c r="AD55" s="927"/>
      <c r="AE55" s="927"/>
    </row>
    <row s="32338" customFormat="1" customHeight="1" ht="11.25">
      <c r="A56" s="1349"/>
      <c r="B56" s="2002"/>
      <c r="C56" s="2002"/>
      <c r="D56" s="712"/>
      <c r="K56" s="1523"/>
      <c r="L56" s="2002"/>
      <c r="M56" s="2002"/>
      <c r="N56" s="1523"/>
      <c r="O56" s="1523"/>
      <c r="P56" s="1523"/>
      <c r="Q56" s="1523"/>
      <c r="R56" s="2002"/>
      <c r="S56" s="1523"/>
      <c r="T56" s="1523"/>
      <c r="U56" s="905"/>
      <c r="V56" s="1523"/>
      <c r="W56" s="1523"/>
      <c r="X56" s="1523"/>
      <c r="Y56" s="1523"/>
      <c r="Z56" s="1523"/>
      <c r="AA56" s="1998"/>
      <c r="AB56" s="927"/>
      <c r="AC56" s="927"/>
      <c r="AD56" s="927"/>
      <c r="AE56" s="927"/>
    </row>
    <row s="32338" customFormat="1" customHeight="1" ht="11.25">
      <c r="A57" s="1349"/>
      <c r="B57" s="2002"/>
      <c r="C57" s="2002"/>
      <c r="D57" s="712"/>
      <c r="K57" s="1523"/>
      <c r="L57" s="2002"/>
      <c r="M57" s="2002"/>
      <c r="N57" s="1523"/>
      <c r="O57" s="1523"/>
      <c r="P57" s="1523"/>
      <c r="Q57" s="1523"/>
      <c r="R57" s="2002"/>
      <c r="S57" s="1523"/>
      <c r="T57" s="1523"/>
      <c r="U57" s="905"/>
      <c r="V57" s="1523"/>
      <c r="W57" s="1523"/>
      <c r="X57" s="1523"/>
      <c r="Y57" s="1523"/>
      <c r="Z57" s="1523"/>
      <c r="AA57" s="1998"/>
      <c r="AB57" s="927"/>
      <c r="AC57" s="927"/>
      <c r="AD57" s="927"/>
      <c r="AE57" s="927"/>
    </row>
    <row s="32338" customFormat="1" customHeight="1" ht="11.25">
      <c r="A58" s="1349"/>
      <c r="B58" s="2002"/>
      <c r="C58" s="2002"/>
      <c r="D58" s="712"/>
      <c r="K58" s="1523"/>
      <c r="L58" s="2002"/>
      <c r="M58" s="2002"/>
      <c r="N58" s="1523"/>
      <c r="O58" s="1523"/>
      <c r="P58" s="1523"/>
      <c r="Q58" s="1523"/>
      <c r="R58" s="2002"/>
      <c r="S58" s="1523"/>
      <c r="T58" s="1523"/>
      <c r="U58" s="905"/>
      <c r="V58" s="1523"/>
      <c r="W58" s="1523"/>
      <c r="X58" s="1523"/>
      <c r="Y58" s="1523"/>
      <c r="Z58" s="1523"/>
      <c r="AA58" s="1998"/>
      <c r="AB58" s="927"/>
      <c r="AC58" s="927"/>
      <c r="AD58" s="927"/>
      <c r="AE58" s="927"/>
    </row>
    <row s="32338" customFormat="1" customHeight="1" ht="11.25">
      <c r="A59" s="1349"/>
      <c r="B59" s="2002"/>
      <c r="C59" s="2002"/>
      <c r="D59" s="712"/>
      <c r="K59" s="1523"/>
      <c r="L59" s="2002"/>
      <c r="M59" s="2002"/>
      <c r="N59" s="1523"/>
      <c r="O59" s="1523"/>
      <c r="P59" s="1523"/>
      <c r="Q59" s="1523"/>
      <c r="R59" s="2002"/>
      <c r="S59" s="1523"/>
      <c r="T59" s="1523"/>
      <c r="U59" s="905"/>
      <c r="V59" s="1523"/>
      <c r="W59" s="1523"/>
      <c r="X59" s="1523"/>
      <c r="Y59" s="1523"/>
      <c r="Z59" s="1523"/>
      <c r="AA59" s="1998"/>
      <c r="AB59" s="927"/>
      <c r="AC59" s="927"/>
      <c r="AD59" s="927"/>
      <c r="AE59" s="927"/>
    </row>
    <row s="32338" customFormat="1" customHeight="1" ht="11.25">
      <c r="A60" s="1349"/>
      <c r="B60" s="2002"/>
      <c r="C60" s="2002"/>
      <c r="D60" s="712"/>
      <c r="K60" s="1523"/>
      <c r="L60" s="2002"/>
      <c r="M60" s="2002"/>
      <c r="N60" s="1523"/>
      <c r="O60" s="1523"/>
      <c r="P60" s="1523"/>
      <c r="Q60" s="1523"/>
      <c r="R60" s="2002"/>
      <c r="S60" s="1523"/>
      <c r="T60" s="1523"/>
      <c r="U60" s="905"/>
      <c r="V60" s="1523"/>
      <c r="W60" s="1523"/>
      <c r="X60" s="1523"/>
      <c r="Y60" s="1523"/>
      <c r="Z60" s="1523"/>
      <c r="AA60" s="1998"/>
      <c r="AB60" s="927"/>
      <c r="AC60" s="927"/>
      <c r="AD60" s="927"/>
      <c r="AE60" s="927"/>
    </row>
    <row s="32338" customFormat="1" customHeight="1" ht="11.25">
      <c r="A61" s="1349"/>
      <c r="B61" s="2002"/>
      <c r="C61" s="2002"/>
      <c r="D61" s="712"/>
      <c r="K61" s="1523"/>
      <c r="L61" s="2002"/>
      <c r="M61" s="2002"/>
      <c r="N61" s="1523"/>
      <c r="O61" s="1523"/>
      <c r="P61" s="1523"/>
      <c r="Q61" s="1523"/>
      <c r="R61" s="2002"/>
      <c r="S61" s="1523"/>
      <c r="T61" s="1523"/>
      <c r="U61" s="905"/>
      <c r="V61" s="1523"/>
      <c r="W61" s="1523"/>
      <c r="X61" s="1523"/>
      <c r="Y61" s="1523"/>
      <c r="Z61" s="1523"/>
      <c r="AA61" s="1998"/>
      <c r="AB61" s="927"/>
      <c r="AC61" s="927"/>
      <c r="AD61" s="927"/>
      <c r="AE61" s="927"/>
    </row>
    <row s="32338" customFormat="1" customHeight="1" ht="11.25">
      <c r="A62" s="1349"/>
      <c r="B62" s="2002"/>
      <c r="C62" s="2002"/>
      <c r="D62" s="712"/>
      <c r="K62" s="1523"/>
      <c r="L62" s="2002"/>
      <c r="M62" s="2002"/>
      <c r="N62" s="1523"/>
      <c r="O62" s="1523"/>
      <c r="P62" s="1523"/>
      <c r="Q62" s="1523"/>
      <c r="R62" s="2002"/>
      <c r="S62" s="1523"/>
      <c r="T62" s="1523"/>
      <c r="U62" s="905"/>
      <c r="V62" s="1523"/>
      <c r="W62" s="1523"/>
      <c r="X62" s="1523"/>
      <c r="Y62" s="1523"/>
      <c r="Z62" s="1523"/>
      <c r="AA62" s="1998"/>
      <c r="AB62" s="927"/>
      <c r="AC62" s="927"/>
      <c r="AD62" s="927"/>
      <c r="AE62" s="927"/>
    </row>
    <row s="32338" customFormat="1" customHeight="1" ht="11.25">
      <c r="A63" s="1349"/>
      <c r="B63" s="2002"/>
      <c r="C63" s="2002"/>
      <c r="D63" s="712"/>
      <c r="K63" s="1523"/>
      <c r="L63" s="2002"/>
      <c r="M63" s="2002"/>
      <c r="N63" s="1523"/>
      <c r="O63" s="1523"/>
      <c r="P63" s="1523"/>
      <c r="Q63" s="1523"/>
      <c r="R63" s="2002"/>
      <c r="S63" s="1523"/>
      <c r="T63" s="1523"/>
      <c r="U63" s="905"/>
      <c r="V63" s="1523"/>
      <c r="W63" s="1523"/>
      <c r="X63" s="1523"/>
      <c r="Y63" s="1523"/>
      <c r="Z63" s="1523"/>
      <c r="AA63" s="1998"/>
      <c r="AB63" s="927"/>
      <c r="AC63" s="927"/>
      <c r="AD63" s="927"/>
      <c r="AE63" s="927"/>
    </row>
    <row s="32338" customFormat="1" customHeight="1" ht="11.25">
      <c r="A64" s="1349"/>
      <c r="B64" s="2002"/>
      <c r="C64" s="2002"/>
      <c r="D64" s="712"/>
      <c r="K64" s="1523"/>
      <c r="L64" s="2002"/>
      <c r="M64" s="2002"/>
      <c r="N64" s="1523"/>
      <c r="O64" s="1523"/>
      <c r="P64" s="1523"/>
      <c r="Q64" s="1523"/>
      <c r="R64" s="2002"/>
      <c r="S64" s="1523"/>
      <c r="T64" s="1523"/>
      <c r="U64" s="905"/>
      <c r="V64" s="1523"/>
      <c r="W64" s="1523"/>
      <c r="X64" s="1523"/>
      <c r="Y64" s="1523"/>
      <c r="Z64" s="1523"/>
      <c r="AA64" s="1998"/>
      <c r="AB64" s="927"/>
      <c r="AC64" s="927"/>
      <c r="AD64" s="927"/>
      <c r="AE64" s="927"/>
    </row>
    <row s="32338" customFormat="1" customHeight="1" ht="11.25">
      <c r="A65" s="1349"/>
      <c r="B65" s="2002"/>
      <c r="C65" s="2002"/>
      <c r="D65" s="712"/>
      <c r="K65" s="1523"/>
      <c r="L65" s="2002"/>
      <c r="M65" s="2002"/>
      <c r="N65" s="1523"/>
      <c r="O65" s="1523"/>
      <c r="P65" s="1523"/>
      <c r="Q65" s="1523"/>
      <c r="R65" s="2002"/>
      <c r="S65" s="1523"/>
      <c r="T65" s="1523"/>
      <c r="U65" s="905"/>
      <c r="V65" s="1523"/>
      <c r="W65" s="1523"/>
      <c r="X65" s="1523"/>
      <c r="Y65" s="1523"/>
      <c r="Z65" s="1523"/>
      <c r="AA65" s="1998"/>
      <c r="AB65" s="927"/>
      <c r="AC65" s="927"/>
      <c r="AD65" s="927"/>
      <c r="AE65" s="927"/>
    </row>
    <row s="32338" customFormat="1" customHeight="1" ht="11.25">
      <c r="A66" s="1349"/>
      <c r="B66" s="2002"/>
      <c r="C66" s="2002"/>
      <c r="D66" s="712"/>
      <c r="K66" s="1523"/>
      <c r="L66" s="2002"/>
      <c r="M66" s="2002"/>
      <c r="N66" s="1523"/>
      <c r="O66" s="1523"/>
      <c r="P66" s="1523"/>
      <c r="Q66" s="1523"/>
      <c r="R66" s="2002"/>
      <c r="S66" s="1523"/>
      <c r="T66" s="1523"/>
      <c r="U66" s="905"/>
      <c r="V66" s="1523"/>
      <c r="W66" s="1523"/>
      <c r="X66" s="1523"/>
      <c r="Y66" s="1523"/>
      <c r="Z66" s="1523"/>
      <c r="AA66" s="1998"/>
      <c r="AB66" s="927"/>
      <c r="AC66" s="927"/>
      <c r="AD66" s="927"/>
      <c r="AE66" s="927"/>
    </row>
    <row s="32338" customFormat="1" customHeight="1" ht="11.25">
      <c r="A67" s="1349"/>
      <c r="B67" s="2002"/>
      <c r="C67" s="2002"/>
      <c r="D67" s="712"/>
      <c r="K67" s="1523"/>
      <c r="L67" s="2002"/>
      <c r="M67" s="2002"/>
      <c r="N67" s="1523"/>
      <c r="O67" s="1523"/>
      <c r="P67" s="1523"/>
      <c r="Q67" s="1523"/>
      <c r="R67" s="2002"/>
      <c r="S67" s="1523"/>
      <c r="T67" s="1523"/>
      <c r="U67" s="905"/>
      <c r="V67" s="1523"/>
      <c r="W67" s="1523"/>
      <c r="X67" s="1523"/>
      <c r="Y67" s="1523"/>
      <c r="Z67" s="1523"/>
      <c r="AA67" s="1998"/>
      <c r="AB67" s="927"/>
      <c r="AC67" s="927"/>
      <c r="AD67" s="927"/>
      <c r="AE67" s="927"/>
    </row>
    <row s="32338" customFormat="1" customHeight="1" ht="11.25">
      <c r="A68" s="1349"/>
      <c r="B68" s="2002"/>
      <c r="C68" s="2002"/>
      <c r="D68" s="712"/>
      <c r="K68" s="1523"/>
      <c r="L68" s="2002"/>
      <c r="M68" s="2002"/>
      <c r="N68" s="1523"/>
      <c r="O68" s="1523"/>
      <c r="P68" s="1523"/>
      <c r="Q68" s="1523"/>
      <c r="R68" s="2002"/>
      <c r="S68" s="1523"/>
      <c r="T68" s="1523"/>
      <c r="U68" s="905"/>
      <c r="V68" s="1523"/>
      <c r="W68" s="1523"/>
      <c r="X68" s="1523"/>
      <c r="Y68" s="1523"/>
      <c r="Z68" s="1523"/>
      <c r="AA68" s="1998"/>
      <c r="AB68" s="927"/>
      <c r="AC68" s="927"/>
      <c r="AD68" s="927"/>
      <c r="AE68" s="927"/>
    </row>
    <row s="32338" customFormat="1" customHeight="1" ht="11.25">
      <c r="A69" s="1349"/>
      <c r="B69" s="2002"/>
      <c r="C69" s="2002"/>
      <c r="D69" s="712"/>
      <c r="K69" s="1523"/>
      <c r="L69" s="2002"/>
      <c r="M69" s="2002"/>
      <c r="N69" s="1523"/>
      <c r="O69" s="1523"/>
      <c r="P69" s="1523"/>
      <c r="Q69" s="1523"/>
      <c r="R69" s="2002"/>
      <c r="S69" s="1523"/>
      <c r="T69" s="1523"/>
      <c r="U69" s="905"/>
      <c r="V69" s="1523"/>
      <c r="W69" s="1523"/>
      <c r="X69" s="1523"/>
      <c r="Y69" s="1523"/>
      <c r="Z69" s="1523"/>
      <c r="AA69" s="1998"/>
      <c r="AB69" s="927"/>
      <c r="AC69" s="927"/>
      <c r="AD69" s="927"/>
      <c r="AE69" s="927"/>
    </row>
    <row s="32338" customFormat="1" customHeight="1" ht="11.25">
      <c r="A70" s="1349"/>
      <c r="B70" s="2002"/>
      <c r="C70" s="2002"/>
      <c r="D70" s="712"/>
      <c r="K70" s="1523"/>
      <c r="L70" s="2002"/>
      <c r="M70" s="2002"/>
      <c r="N70" s="1523"/>
      <c r="O70" s="1523"/>
      <c r="P70" s="1523"/>
      <c r="Q70" s="1523"/>
      <c r="R70" s="2002"/>
      <c r="S70" s="1523"/>
      <c r="T70" s="1523"/>
      <c r="U70" s="905"/>
      <c r="V70" s="1523"/>
      <c r="W70" s="1523"/>
      <c r="X70" s="1523"/>
      <c r="Y70" s="1523"/>
      <c r="Z70" s="1523"/>
      <c r="AA70" s="1998"/>
      <c r="AB70" s="927"/>
      <c r="AC70" s="927"/>
      <c r="AD70" s="927"/>
      <c r="AE70" s="927"/>
    </row>
    <row s="32338" customFormat="1" customHeight="1" ht="11.25">
      <c r="A71" s="1349"/>
      <c r="B71" s="2002"/>
      <c r="C71" s="2002"/>
      <c r="D71" s="712"/>
      <c r="K71" s="1523"/>
      <c r="L71" s="2002"/>
      <c r="M71" s="2002"/>
      <c r="N71" s="1523"/>
      <c r="O71" s="1523"/>
      <c r="P71" s="1523"/>
      <c r="Q71" s="1523"/>
      <c r="R71" s="2002"/>
      <c r="S71" s="1523"/>
      <c r="T71" s="1523"/>
      <c r="U71" s="905"/>
      <c r="V71" s="1523"/>
      <c r="W71" s="1523"/>
      <c r="X71" s="1523"/>
      <c r="Y71" s="1523"/>
      <c r="Z71" s="1523"/>
      <c r="AA71" s="1998"/>
      <c r="AB71" s="927"/>
      <c r="AC71" s="927"/>
      <c r="AD71" s="927"/>
      <c r="AE71" s="927"/>
    </row>
    <row s="32338" customFormat="1" customHeight="1" ht="11.25">
      <c r="A72" s="1349"/>
      <c r="B72" s="2002"/>
      <c r="C72" s="2002"/>
      <c r="D72" s="712"/>
      <c r="K72" s="1523"/>
      <c r="L72" s="2002"/>
      <c r="M72" s="2002"/>
      <c r="N72" s="1523"/>
      <c r="O72" s="1523"/>
      <c r="P72" s="1523"/>
      <c r="Q72" s="1523"/>
      <c r="R72" s="2002"/>
      <c r="S72" s="1523"/>
      <c r="T72" s="1523"/>
      <c r="U72" s="905"/>
      <c r="V72" s="1523"/>
      <c r="W72" s="1523"/>
      <c r="X72" s="1523"/>
      <c r="Y72" s="1523"/>
      <c r="Z72" s="1523"/>
      <c r="AA72" s="1998"/>
      <c r="AB72" s="927"/>
      <c r="AC72" s="927"/>
      <c r="AD72" s="927"/>
      <c r="AE72" s="927"/>
    </row>
    <row s="32338" customFormat="1" customHeight="1" ht="11.25">
      <c r="A73" s="1349"/>
      <c r="B73" s="2002"/>
      <c r="C73" s="2002"/>
      <c r="D73" s="712"/>
      <c r="K73" s="1523"/>
      <c r="L73" s="2002"/>
      <c r="M73" s="2002"/>
      <c r="N73" s="1523"/>
      <c r="O73" s="1523"/>
      <c r="P73" s="1523"/>
      <c r="Q73" s="1523"/>
      <c r="R73" s="2002"/>
      <c r="S73" s="1523"/>
      <c r="T73" s="1523"/>
      <c r="U73" s="905"/>
      <c r="V73" s="1523"/>
      <c r="W73" s="1523"/>
      <c r="X73" s="1523"/>
      <c r="Y73" s="1523"/>
      <c r="Z73" s="1523"/>
      <c r="AA73" s="1998"/>
      <c r="AB73" s="927"/>
      <c r="AC73" s="927"/>
      <c r="AD73" s="927"/>
      <c r="AE73" s="927"/>
    </row>
    <row s="32338" customFormat="1" customHeight="1" ht="11.25">
      <c r="A74" s="1349"/>
      <c r="B74" s="2002"/>
      <c r="C74" s="2002"/>
      <c r="D74" s="712"/>
      <c r="K74" s="1523"/>
      <c r="L74" s="2002"/>
      <c r="M74" s="2002"/>
      <c r="N74" s="1523"/>
      <c r="O74" s="1523"/>
      <c r="P74" s="1523"/>
      <c r="Q74" s="1523"/>
      <c r="R74" s="2002"/>
      <c r="S74" s="1523"/>
      <c r="T74" s="1523"/>
      <c r="U74" s="905"/>
      <c r="V74" s="1523"/>
      <c r="W74" s="1523"/>
      <c r="X74" s="1523"/>
      <c r="Y74" s="1523"/>
      <c r="Z74" s="1523"/>
      <c r="AA74" s="1998"/>
      <c r="AB74" s="927"/>
      <c r="AC74" s="927"/>
      <c r="AD74" s="927"/>
      <c r="AE74" s="927"/>
    </row>
    <row s="32338" customFormat="1" customHeight="1" ht="11.25">
      <c r="A75" s="1349"/>
      <c r="B75" s="2002"/>
      <c r="C75" s="2002"/>
      <c r="D75" s="712"/>
      <c r="K75" s="1523"/>
      <c r="L75" s="2002"/>
      <c r="M75" s="2002"/>
      <c r="N75" s="1523"/>
      <c r="O75" s="1523"/>
      <c r="P75" s="1523"/>
      <c r="Q75" s="1523"/>
      <c r="R75" s="2002"/>
      <c r="S75" s="1523"/>
      <c r="T75" s="1523"/>
      <c r="U75" s="905"/>
      <c r="V75" s="1523"/>
      <c r="W75" s="1523"/>
      <c r="X75" s="1523"/>
      <c r="Y75" s="1523"/>
      <c r="Z75" s="1523"/>
      <c r="AA75" s="1998"/>
      <c r="AB75" s="927"/>
      <c r="AC75" s="927"/>
      <c r="AD75" s="927"/>
      <c r="AE75" s="927"/>
    </row>
    <row s="32338" customFormat="1" customHeight="1" ht="11.25">
      <c r="A76" s="1349"/>
      <c r="B76" s="2002"/>
      <c r="C76" s="2002"/>
      <c r="D76" s="712"/>
      <c r="K76" s="1523"/>
      <c r="L76" s="2002"/>
      <c r="M76" s="2002"/>
      <c r="N76" s="1523"/>
      <c r="O76" s="1523"/>
      <c r="P76" s="1523"/>
      <c r="Q76" s="1523"/>
      <c r="R76" s="2002"/>
      <c r="S76" s="1523"/>
      <c r="T76" s="1523"/>
      <c r="U76" s="905"/>
      <c r="V76" s="1523"/>
      <c r="W76" s="1523"/>
      <c r="X76" s="1523"/>
      <c r="Y76" s="1523"/>
      <c r="Z76" s="1523"/>
      <c r="AA76" s="1998"/>
      <c r="AB76" s="927"/>
      <c r="AC76" s="927"/>
      <c r="AD76" s="927"/>
      <c r="AE76" s="927"/>
    </row>
    <row s="32338" customFormat="1" customHeight="1" ht="11.25">
      <c r="A77" s="1349"/>
      <c r="B77" s="2002"/>
      <c r="C77" s="2002"/>
      <c r="D77" s="712"/>
      <c r="K77" s="1523"/>
      <c r="L77" s="2002"/>
      <c r="M77" s="2002"/>
      <c r="N77" s="1523"/>
      <c r="O77" s="1523"/>
      <c r="P77" s="1523"/>
      <c r="Q77" s="1523"/>
      <c r="R77" s="2002"/>
      <c r="S77" s="1523"/>
      <c r="T77" s="1523"/>
      <c r="U77" s="905"/>
      <c r="V77" s="1523"/>
      <c r="W77" s="1523"/>
      <c r="X77" s="1523"/>
      <c r="Y77" s="1523"/>
      <c r="Z77" s="1523"/>
      <c r="AA77" s="1998"/>
      <c r="AB77" s="927"/>
      <c r="AC77" s="927"/>
      <c r="AD77" s="927"/>
      <c r="AE77" s="927"/>
    </row>
    <row s="32338" customFormat="1" customHeight="1" ht="11.25">
      <c r="A78" s="1349"/>
      <c r="B78" s="2002"/>
      <c r="C78" s="2002"/>
      <c r="D78" s="712"/>
      <c r="K78" s="1523"/>
      <c r="L78" s="2002"/>
      <c r="M78" s="2002"/>
      <c r="N78" s="1523"/>
      <c r="O78" s="1523"/>
      <c r="P78" s="1523"/>
      <c r="Q78" s="1523"/>
      <c r="R78" s="2002"/>
      <c r="S78" s="1523"/>
      <c r="T78" s="1523"/>
      <c r="U78" s="905"/>
      <c r="V78" s="1523"/>
      <c r="W78" s="1523"/>
      <c r="X78" s="1523"/>
      <c r="Y78" s="1523"/>
      <c r="Z78" s="1523"/>
      <c r="AA78" s="1998"/>
      <c r="AB78" s="927"/>
      <c r="AC78" s="927"/>
      <c r="AD78" s="927"/>
      <c r="AE78" s="927"/>
    </row>
    <row s="32338" customFormat="1" customHeight="1" ht="11.25">
      <c r="A79" s="1349"/>
      <c r="B79" s="2002"/>
      <c r="C79" s="2002"/>
      <c r="D79" s="712"/>
      <c r="K79" s="1523"/>
      <c r="L79" s="2002"/>
      <c r="M79" s="2002"/>
      <c r="N79" s="1523"/>
      <c r="O79" s="1523"/>
      <c r="P79" s="1523"/>
      <c r="Q79" s="1523"/>
      <c r="R79" s="2002"/>
      <c r="S79" s="1523"/>
      <c r="T79" s="1523"/>
      <c r="U79" s="905"/>
      <c r="V79" s="1523"/>
      <c r="W79" s="1523"/>
      <c r="X79" s="1523"/>
      <c r="Y79" s="1523"/>
      <c r="Z79" s="1523"/>
      <c r="AA79" s="1998"/>
      <c r="AB79" s="927"/>
      <c r="AC79" s="927"/>
      <c r="AD79" s="927"/>
      <c r="AE79" s="927"/>
    </row>
    <row s="32338" customFormat="1" customHeight="1" ht="11.25">
      <c r="A80" s="1349"/>
      <c r="B80" s="2002"/>
      <c r="C80" s="2002"/>
      <c r="D80" s="712"/>
      <c r="K80" s="1523"/>
      <c r="L80" s="2002"/>
      <c r="M80" s="2002"/>
      <c r="N80" s="1523"/>
      <c r="O80" s="1523"/>
      <c r="P80" s="1523"/>
      <c r="Q80" s="1523"/>
      <c r="R80" s="2002"/>
      <c r="S80" s="1523"/>
      <c r="T80" s="1523"/>
      <c r="U80" s="905"/>
      <c r="V80" s="1523"/>
      <c r="W80" s="1523"/>
      <c r="X80" s="1523"/>
      <c r="Y80" s="1523"/>
      <c r="Z80" s="1523"/>
      <c r="AA80" s="1998"/>
      <c r="AB80" s="927"/>
      <c r="AC80" s="927"/>
      <c r="AD80" s="927"/>
      <c r="AE80" s="927"/>
    </row>
    <row s="32338" customFormat="1" customHeight="1" ht="11.25">
      <c r="A81" s="1349"/>
      <c r="B81" s="2002"/>
      <c r="C81" s="2002"/>
      <c r="D81" s="712"/>
      <c r="K81" s="1523"/>
      <c r="L81" s="2002"/>
      <c r="M81" s="2002"/>
      <c r="N81" s="1523"/>
      <c r="O81" s="1523"/>
      <c r="P81" s="1523"/>
      <c r="Q81" s="1523"/>
      <c r="R81" s="2002"/>
      <c r="S81" s="1523"/>
      <c r="T81" s="1523"/>
      <c r="U81" s="905"/>
      <c r="V81" s="1523"/>
      <c r="W81" s="1523"/>
      <c r="X81" s="1523"/>
      <c r="Y81" s="1523"/>
      <c r="Z81" s="1523"/>
      <c r="AA81" s="1998"/>
      <c r="AB81" s="927"/>
      <c r="AC81" s="927"/>
      <c r="AD81" s="927"/>
      <c r="AE81" s="927"/>
    </row>
    <row s="32338" customFormat="1" customHeight="1" ht="11.25">
      <c r="A82" s="1349"/>
      <c r="B82" s="2002"/>
      <c r="C82" s="2002"/>
      <c r="D82" s="712"/>
      <c r="K82" s="1523"/>
      <c r="L82" s="2002"/>
      <c r="M82" s="2002"/>
      <c r="N82" s="1523"/>
      <c r="O82" s="1523"/>
      <c r="P82" s="1523"/>
      <c r="Q82" s="1523"/>
      <c r="R82" s="2002"/>
      <c r="S82" s="1523"/>
      <c r="T82" s="1523"/>
      <c r="U82" s="905"/>
      <c r="V82" s="1523"/>
      <c r="W82" s="1523"/>
      <c r="X82" s="1523"/>
      <c r="Y82" s="1523"/>
      <c r="Z82" s="1523"/>
      <c r="AA82" s="1998"/>
      <c r="AB82" s="927"/>
      <c r="AC82" s="927"/>
      <c r="AD82" s="927"/>
      <c r="AE82" s="927"/>
    </row>
    <row s="32338" customFormat="1" customHeight="1" ht="11.25">
      <c r="A83" s="1349"/>
      <c r="B83" s="2002"/>
      <c r="C83" s="2002"/>
      <c r="D83" s="712"/>
      <c r="K83" s="1523"/>
      <c r="L83" s="2002"/>
      <c r="M83" s="2002"/>
      <c r="N83" s="1523"/>
      <c r="O83" s="1523"/>
      <c r="P83" s="1523"/>
      <c r="Q83" s="1523"/>
      <c r="R83" s="2002"/>
      <c r="S83" s="1523"/>
      <c r="T83" s="1523"/>
      <c r="U83" s="905"/>
      <c r="V83" s="1523"/>
      <c r="W83" s="1523"/>
      <c r="X83" s="1523"/>
      <c r="Y83" s="1523"/>
      <c r="Z83" s="1523"/>
      <c r="AA83" s="1998"/>
      <c r="AB83" s="927"/>
      <c r="AC83" s="927"/>
      <c r="AD83" s="927"/>
      <c r="AE83" s="927"/>
    </row>
    <row s="32338" customFormat="1" customHeight="1" ht="11.25">
      <c r="A84" s="1349"/>
      <c r="B84" s="2002"/>
      <c r="C84" s="2002"/>
      <c r="D84" s="712"/>
      <c r="K84" s="1523"/>
      <c r="L84" s="2002"/>
      <c r="M84" s="2002"/>
      <c r="N84" s="1523"/>
      <c r="O84" s="1523"/>
      <c r="P84" s="1523"/>
      <c r="Q84" s="1523"/>
      <c r="R84" s="2002"/>
      <c r="S84" s="1523"/>
      <c r="T84" s="1523"/>
      <c r="U84" s="905"/>
      <c r="V84" s="1523"/>
      <c r="W84" s="1523"/>
      <c r="X84" s="1523"/>
      <c r="Y84" s="1523"/>
      <c r="Z84" s="1523"/>
      <c r="AA84" s="1998"/>
      <c r="AB84" s="927"/>
      <c r="AC84" s="927"/>
      <c r="AD84" s="927"/>
      <c r="AE84" s="927"/>
    </row>
    <row s="32338" customFormat="1" customHeight="1" ht="11.25">
      <c r="A85" s="1349"/>
      <c r="B85" s="2002"/>
      <c r="C85" s="2002"/>
      <c r="D85" s="712"/>
      <c r="K85" s="1523"/>
      <c r="L85" s="2002"/>
      <c r="M85" s="2002"/>
      <c r="N85" s="1523"/>
      <c r="O85" s="1523"/>
      <c r="P85" s="1523"/>
      <c r="Q85" s="1523"/>
      <c r="R85" s="2002"/>
      <c r="S85" s="1523"/>
      <c r="T85" s="1523"/>
      <c r="U85" s="905"/>
      <c r="V85" s="1523"/>
      <c r="W85" s="1523"/>
      <c r="X85" s="1523"/>
      <c r="Y85" s="1523"/>
      <c r="Z85" s="1523"/>
      <c r="AA85" s="1998"/>
      <c r="AB85" s="927"/>
      <c r="AC85" s="927"/>
      <c r="AD85" s="927"/>
      <c r="AE85" s="927"/>
    </row>
    <row s="32338" customFormat="1" customHeight="1" ht="11.25">
      <c r="A86" s="1349"/>
      <c r="B86" s="2002"/>
      <c r="C86" s="2002"/>
      <c r="D86" s="712"/>
      <c r="K86" s="1523"/>
      <c r="L86" s="2002"/>
      <c r="M86" s="2002"/>
      <c r="N86" s="1523"/>
      <c r="O86" s="1523"/>
      <c r="P86" s="1523"/>
      <c r="Q86" s="1523"/>
      <c r="R86" s="2002"/>
      <c r="S86" s="1523"/>
      <c r="T86" s="1523"/>
      <c r="U86" s="905"/>
      <c r="V86" s="1523"/>
      <c r="W86" s="1523"/>
      <c r="X86" s="1523"/>
      <c r="Y86" s="1523"/>
      <c r="Z86" s="1523"/>
      <c r="AA86" s="1998"/>
      <c r="AB86" s="927"/>
      <c r="AC86" s="927"/>
      <c r="AD86" s="927"/>
      <c r="AE86" s="927"/>
    </row>
    <row s="32338" customFormat="1" customHeight="1" ht="11.25">
      <c r="A87" s="1349"/>
      <c r="B87" s="2002"/>
      <c r="C87" s="2002"/>
      <c r="D87" s="712"/>
      <c r="K87" s="1523"/>
      <c r="L87" s="2002"/>
      <c r="M87" s="2002"/>
      <c r="N87" s="1523"/>
      <c r="O87" s="1523"/>
      <c r="P87" s="1523"/>
      <c r="Q87" s="1523"/>
      <c r="R87" s="2002"/>
      <c r="S87" s="1523"/>
      <c r="T87" s="1523"/>
      <c r="U87" s="905"/>
      <c r="V87" s="1523"/>
      <c r="W87" s="1523"/>
      <c r="X87" s="1523"/>
      <c r="Y87" s="1523"/>
      <c r="Z87" s="1523"/>
      <c r="AA87" s="1998"/>
      <c r="AB87" s="927"/>
      <c r="AC87" s="927"/>
      <c r="AD87" s="927"/>
      <c r="AE87" s="927"/>
    </row>
    <row s="32338" customFormat="1" customHeight="1" ht="11.25">
      <c r="A88" s="1349"/>
      <c r="B88" s="2002"/>
      <c r="C88" s="2002"/>
      <c r="D88" s="712"/>
      <c r="K88" s="1523"/>
      <c r="L88" s="2002"/>
      <c r="M88" s="2002"/>
      <c r="N88" s="1523"/>
      <c r="O88" s="1523"/>
      <c r="P88" s="1523"/>
      <c r="Q88" s="1523"/>
      <c r="R88" s="2002"/>
      <c r="S88" s="1523"/>
      <c r="T88" s="1523"/>
      <c r="U88" s="905"/>
      <c r="V88" s="1523"/>
      <c r="W88" s="1523"/>
      <c r="X88" s="1523"/>
      <c r="Y88" s="1523"/>
      <c r="Z88" s="1523"/>
      <c r="AA88" s="1998"/>
      <c r="AB88" s="927"/>
      <c r="AC88" s="927"/>
      <c r="AD88" s="927"/>
      <c r="AE88" s="927"/>
    </row>
    <row s="32338" customFormat="1" customHeight="1" ht="11.25">
      <c r="A89" s="1349"/>
      <c r="B89" s="2002"/>
      <c r="C89" s="2002"/>
      <c r="D89" s="712"/>
      <c r="K89" s="1523"/>
      <c r="L89" s="2002"/>
      <c r="M89" s="2002"/>
      <c r="N89" s="1523"/>
      <c r="O89" s="1523"/>
      <c r="P89" s="1523"/>
      <c r="Q89" s="1523"/>
      <c r="R89" s="2002"/>
      <c r="S89" s="1523"/>
      <c r="T89" s="1523"/>
      <c r="U89" s="905"/>
      <c r="V89" s="1523"/>
      <c r="W89" s="1523"/>
      <c r="X89" s="1523"/>
      <c r="Y89" s="1523"/>
      <c r="Z89" s="1523"/>
      <c r="AA89" s="1998"/>
      <c r="AB89" s="927"/>
      <c r="AC89" s="927"/>
      <c r="AD89" s="927"/>
      <c r="AE89" s="927"/>
    </row>
    <row s="32338" customFormat="1" customHeight="1" ht="11.25">
      <c r="A90" s="1349"/>
      <c r="B90" s="2002"/>
      <c r="C90" s="2002"/>
      <c r="D90" s="712"/>
      <c r="K90" s="1523"/>
      <c r="L90" s="2002"/>
      <c r="M90" s="2002"/>
      <c r="N90" s="1523"/>
      <c r="O90" s="1523"/>
      <c r="P90" s="1523"/>
      <c r="Q90" s="1523"/>
      <c r="R90" s="2002"/>
      <c r="S90" s="1523"/>
      <c r="T90" s="1523"/>
      <c r="U90" s="905"/>
      <c r="V90" s="1523"/>
      <c r="W90" s="1523"/>
      <c r="X90" s="1523"/>
      <c r="Y90" s="1523"/>
      <c r="Z90" s="1523"/>
      <c r="AA90" s="1998"/>
      <c r="AB90" s="927"/>
      <c r="AC90" s="927"/>
      <c r="AD90" s="927"/>
      <c r="AE90" s="927"/>
    </row>
    <row s="32338" customFormat="1" customHeight="1" ht="11.25">
      <c r="A91" s="1349"/>
      <c r="B91" s="2002"/>
      <c r="C91" s="2002"/>
      <c r="D91" s="712"/>
      <c r="K91" s="1523"/>
      <c r="L91" s="2002"/>
      <c r="M91" s="2002"/>
      <c r="N91" s="1523"/>
      <c r="O91" s="1523"/>
      <c r="P91" s="1523"/>
      <c r="Q91" s="1523"/>
      <c r="R91" s="2002"/>
      <c r="S91" s="1523"/>
      <c r="T91" s="1523"/>
      <c r="U91" s="905"/>
      <c r="V91" s="1523"/>
      <c r="W91" s="1523"/>
      <c r="X91" s="1523"/>
      <c r="Y91" s="1523"/>
      <c r="Z91" s="1523"/>
      <c r="AA91" s="1998"/>
      <c r="AB91" s="927"/>
      <c r="AC91" s="927"/>
      <c r="AD91" s="927"/>
      <c r="AE91" s="927"/>
    </row>
    <row s="32338" customFormat="1" customHeight="1" ht="11.25">
      <c r="A92" s="1349"/>
      <c r="B92" s="2002"/>
      <c r="C92" s="2002"/>
      <c r="D92" s="712"/>
      <c r="K92" s="1523"/>
      <c r="L92" s="2002"/>
      <c r="M92" s="2002"/>
      <c r="N92" s="1523"/>
      <c r="O92" s="1523"/>
      <c r="P92" s="1523"/>
      <c r="Q92" s="1523"/>
      <c r="R92" s="2002"/>
      <c r="S92" s="1523"/>
      <c r="T92" s="1523"/>
      <c r="U92" s="905"/>
      <c r="V92" s="1523"/>
      <c r="W92" s="1523"/>
      <c r="X92" s="1523"/>
      <c r="Y92" s="1523"/>
      <c r="Z92" s="1523"/>
      <c r="AA92" s="1998"/>
      <c r="AB92" s="927"/>
      <c r="AC92" s="927"/>
      <c r="AD92" s="927"/>
      <c r="AE92" s="927"/>
    </row>
    <row s="32338" customFormat="1" customHeight="1" ht="11.25">
      <c r="A93" s="1349"/>
      <c r="B93" s="2002"/>
      <c r="C93" s="2002"/>
      <c r="D93" s="712"/>
      <c r="K93" s="1523"/>
      <c r="L93" s="2002"/>
      <c r="M93" s="2002"/>
      <c r="N93" s="1523"/>
      <c r="O93" s="1523"/>
      <c r="P93" s="1523"/>
      <c r="Q93" s="1523"/>
      <c r="R93" s="2002"/>
      <c r="S93" s="1523"/>
      <c r="T93" s="1523"/>
      <c r="U93" s="905"/>
      <c r="V93" s="1523"/>
      <c r="W93" s="1523"/>
      <c r="X93" s="1523"/>
      <c r="Y93" s="1523"/>
      <c r="Z93" s="1523"/>
      <c r="AA93" s="1998"/>
      <c r="AB93" s="927"/>
      <c r="AC93" s="927"/>
      <c r="AD93" s="927"/>
      <c r="AE93" s="927"/>
    </row>
    <row s="32338" customFormat="1" customHeight="1" ht="11.25">
      <c r="A94" s="1349"/>
      <c r="B94" s="2002"/>
      <c r="C94" s="2002"/>
      <c r="D94" s="712"/>
      <c r="K94" s="1523"/>
      <c r="L94" s="2002"/>
      <c r="M94" s="2002"/>
      <c r="N94" s="1523"/>
      <c r="O94" s="1523"/>
      <c r="P94" s="1523"/>
      <c r="Q94" s="1523"/>
      <c r="R94" s="2002"/>
      <c r="S94" s="1523"/>
      <c r="T94" s="1523"/>
      <c r="U94" s="905"/>
      <c r="V94" s="1523"/>
      <c r="W94" s="1523"/>
      <c r="X94" s="1523"/>
      <c r="Y94" s="1523"/>
      <c r="Z94" s="1523"/>
      <c r="AA94" s="1998"/>
      <c r="AB94" s="927"/>
      <c r="AC94" s="927"/>
      <c r="AD94" s="927"/>
      <c r="AE94" s="927"/>
    </row>
    <row s="32338" customFormat="1" customHeight="1" ht="11.25">
      <c r="A95" s="1349"/>
      <c r="B95" s="2002"/>
      <c r="C95" s="2002"/>
      <c r="D95" s="712"/>
      <c r="K95" s="1523"/>
      <c r="L95" s="2002"/>
      <c r="M95" s="2002"/>
      <c r="N95" s="1523"/>
      <c r="O95" s="1523"/>
      <c r="P95" s="1523"/>
      <c r="Q95" s="1523"/>
      <c r="R95" s="2002"/>
      <c r="S95" s="1523"/>
      <c r="T95" s="1523"/>
      <c r="U95" s="905"/>
      <c r="V95" s="1523"/>
      <c r="W95" s="1523"/>
      <c r="X95" s="1523"/>
      <c r="Y95" s="1523"/>
      <c r="Z95" s="1523"/>
      <c r="AA95" s="1998"/>
      <c r="AB95" s="927"/>
      <c r="AC95" s="927"/>
      <c r="AD95" s="927"/>
      <c r="AE95" s="927"/>
    </row>
    <row s="32338" customFormat="1" customHeight="1" ht="11.25">
      <c r="A96" s="1349"/>
      <c r="B96" s="2002"/>
      <c r="C96" s="2002"/>
      <c r="D96" s="712"/>
      <c r="K96" s="1523"/>
      <c r="L96" s="2002"/>
      <c r="M96" s="2002"/>
      <c r="N96" s="1523"/>
      <c r="O96" s="1523"/>
      <c r="P96" s="1523"/>
      <c r="Q96" s="1523"/>
      <c r="R96" s="2002"/>
      <c r="S96" s="1523"/>
      <c r="T96" s="1523"/>
      <c r="U96" s="905"/>
      <c r="V96" s="1523"/>
      <c r="W96" s="1523"/>
      <c r="X96" s="1523"/>
      <c r="Y96" s="1523"/>
      <c r="Z96" s="1523"/>
      <c r="AA96" s="1998"/>
      <c r="AB96" s="927"/>
      <c r="AC96" s="927"/>
      <c r="AD96" s="927"/>
      <c r="AE96" s="927"/>
    </row>
    <row s="32338" customFormat="1" customHeight="1" ht="11.25">
      <c r="A97" s="1349"/>
      <c r="B97" s="2002"/>
      <c r="C97" s="2002"/>
      <c r="D97" s="712"/>
      <c r="K97" s="1523"/>
      <c r="L97" s="2002"/>
      <c r="M97" s="2002"/>
      <c r="N97" s="1523"/>
      <c r="O97" s="1523"/>
      <c r="P97" s="1523"/>
      <c r="Q97" s="1523"/>
      <c r="R97" s="2002"/>
      <c r="S97" s="1523"/>
      <c r="T97" s="1523"/>
      <c r="U97" s="905"/>
      <c r="V97" s="1523"/>
      <c r="W97" s="1523"/>
      <c r="X97" s="1523"/>
      <c r="Y97" s="1523"/>
      <c r="Z97" s="1523"/>
      <c r="AA97" s="1998"/>
      <c r="AB97" s="927"/>
      <c r="AC97" s="927"/>
      <c r="AD97" s="927"/>
      <c r="AE97" s="927"/>
    </row>
    <row s="32338" customFormat="1" customHeight="1" ht="11.25">
      <c r="A98" s="1349"/>
      <c r="B98" s="2002"/>
      <c r="C98" s="2002"/>
      <c r="D98" s="712"/>
      <c r="K98" s="1523"/>
      <c r="L98" s="2002"/>
      <c r="M98" s="2002"/>
      <c r="N98" s="1523"/>
      <c r="O98" s="1523"/>
      <c r="P98" s="1523"/>
      <c r="Q98" s="1523"/>
      <c r="R98" s="2002"/>
      <c r="S98" s="1523"/>
      <c r="T98" s="1523"/>
      <c r="U98" s="905"/>
      <c r="V98" s="1523"/>
      <c r="W98" s="1523"/>
      <c r="X98" s="1523"/>
      <c r="Y98" s="1523"/>
      <c r="Z98" s="1523"/>
      <c r="AA98" s="1998"/>
      <c r="AB98" s="927"/>
      <c r="AC98" s="927"/>
      <c r="AD98" s="927"/>
      <c r="AE98" s="927"/>
    </row>
    <row s="32338" customFormat="1" customHeight="1" ht="11.25">
      <c r="A99" s="1349"/>
      <c r="B99" s="2002"/>
      <c r="C99" s="2002"/>
      <c r="D99" s="712"/>
      <c r="K99" s="1523"/>
      <c r="L99" s="2002"/>
      <c r="M99" s="2002"/>
      <c r="N99" s="1523"/>
      <c r="O99" s="1523"/>
      <c r="P99" s="1523"/>
      <c r="Q99" s="1523"/>
      <c r="R99" s="2002"/>
      <c r="S99" s="1523"/>
      <c r="T99" s="1523"/>
      <c r="U99" s="905"/>
      <c r="V99" s="1523"/>
      <c r="W99" s="1523"/>
      <c r="X99" s="1523"/>
      <c r="Y99" s="1523"/>
      <c r="Z99" s="1523"/>
      <c r="AA99" s="1998"/>
      <c r="AB99" s="927"/>
      <c r="AC99" s="927"/>
      <c r="AD99" s="927"/>
      <c r="AE99" s="927"/>
    </row>
    <row s="32338" customFormat="1" customHeight="1" ht="11.25">
      <c r="A100" s="1349"/>
      <c r="B100" s="2002"/>
      <c r="C100" s="2002"/>
      <c r="D100" s="712"/>
      <c r="K100" s="1523"/>
      <c r="L100" s="2002"/>
      <c r="M100" s="2002"/>
      <c r="N100" s="1523"/>
      <c r="O100" s="1523"/>
      <c r="P100" s="1523"/>
      <c r="Q100" s="1523"/>
      <c r="R100" s="2002"/>
      <c r="S100" s="1523"/>
      <c r="T100" s="1523"/>
      <c r="U100" s="905"/>
      <c r="V100" s="1523"/>
      <c r="W100" s="1523"/>
      <c r="X100" s="1523"/>
      <c r="Y100" s="1523"/>
      <c r="Z100" s="1523"/>
      <c r="AA100" s="1998"/>
      <c r="AB100" s="927"/>
      <c r="AC100" s="927"/>
      <c r="AD100" s="927"/>
      <c r="AE100" s="927"/>
    </row>
    <row s="32338" customFormat="1" customHeight="1" ht="11.25">
      <c r="A101" s="1349"/>
      <c r="B101" s="2002"/>
      <c r="C101" s="2002"/>
      <c r="D101" s="712"/>
      <c r="K101" s="1523"/>
      <c r="L101" s="2002"/>
      <c r="M101" s="2002"/>
      <c r="N101" s="1523"/>
      <c r="O101" s="1523"/>
      <c r="P101" s="1523"/>
      <c r="Q101" s="1523"/>
      <c r="R101" s="2002"/>
      <c r="S101" s="1523"/>
      <c r="T101" s="1523"/>
      <c r="U101" s="905"/>
      <c r="V101" s="1523"/>
      <c r="W101" s="1523"/>
      <c r="X101" s="1523"/>
      <c r="Y101" s="1523"/>
      <c r="Z101" s="1523"/>
      <c r="AA101" s="1998"/>
      <c r="AB101" s="927"/>
      <c r="AC101" s="927"/>
      <c r="AD101" s="927"/>
      <c r="AE101" s="927"/>
    </row>
    <row s="32338" customFormat="1" customHeight="1" ht="11.25">
      <c r="A102" s="1349"/>
      <c r="B102" s="2002"/>
      <c r="C102" s="2002"/>
      <c r="D102" s="712"/>
      <c r="K102" s="1523"/>
      <c r="L102" s="2002"/>
      <c r="M102" s="2002"/>
      <c r="N102" s="1523"/>
      <c r="O102" s="1523"/>
      <c r="P102" s="1523"/>
      <c r="Q102" s="1523"/>
      <c r="R102" s="2002"/>
      <c r="S102" s="1523"/>
      <c r="T102" s="1523"/>
      <c r="U102" s="905"/>
      <c r="V102" s="1523"/>
      <c r="W102" s="1523"/>
      <c r="X102" s="1523"/>
      <c r="Y102" s="1523"/>
      <c r="Z102" s="1523"/>
      <c r="AA102" s="1998"/>
      <c r="AB102" s="927"/>
      <c r="AC102" s="927"/>
      <c r="AD102" s="927"/>
      <c r="AE102" s="927"/>
    </row>
    <row s="32338" customFormat="1" customHeight="1" ht="11.25">
      <c r="A103" s="1349"/>
      <c r="B103" s="2002"/>
      <c r="C103" s="2002"/>
      <c r="D103" s="712"/>
      <c r="K103" s="1523"/>
      <c r="L103" s="2002"/>
      <c r="M103" s="2002"/>
      <c r="N103" s="1523"/>
      <c r="O103" s="1523"/>
      <c r="P103" s="1523"/>
      <c r="Q103" s="1523"/>
      <c r="R103" s="2002"/>
      <c r="S103" s="1523"/>
      <c r="T103" s="1523"/>
      <c r="U103" s="905"/>
      <c r="V103" s="1523"/>
      <c r="W103" s="1523"/>
      <c r="X103" s="1523"/>
      <c r="Y103" s="1523"/>
      <c r="Z103" s="1523"/>
      <c r="AA103" s="1998"/>
      <c r="AB103" s="927"/>
      <c r="AC103" s="927"/>
      <c r="AD103" s="927"/>
      <c r="AE103" s="927"/>
    </row>
    <row s="32338" customFormat="1" customHeight="1" ht="11.25">
      <c r="A104" s="1349"/>
      <c r="B104" s="2002"/>
      <c r="C104" s="2002"/>
      <c r="D104" s="712"/>
      <c r="K104" s="1523"/>
      <c r="L104" s="2002"/>
      <c r="M104" s="2002"/>
      <c r="N104" s="1523"/>
      <c r="O104" s="1523"/>
      <c r="P104" s="1523"/>
      <c r="Q104" s="1523"/>
      <c r="R104" s="2002"/>
      <c r="S104" s="1523"/>
      <c r="T104" s="1523"/>
      <c r="U104" s="905"/>
      <c r="V104" s="1523"/>
      <c r="W104" s="1523"/>
      <c r="X104" s="1523"/>
      <c r="Y104" s="1523"/>
      <c r="Z104" s="1523"/>
      <c r="AA104" s="1998"/>
      <c r="AB104" s="927"/>
      <c r="AC104" s="927"/>
      <c r="AD104" s="927"/>
      <c r="AE104" s="927"/>
    </row>
    <row s="32338" customFormat="1" customHeight="1" ht="11.25">
      <c r="A105" s="1349"/>
      <c r="B105" s="2002"/>
      <c r="C105" s="2002"/>
      <c r="D105" s="712"/>
      <c r="K105" s="1523"/>
      <c r="L105" s="2002"/>
      <c r="M105" s="2002"/>
      <c r="N105" s="1523"/>
      <c r="O105" s="1523"/>
      <c r="P105" s="1523"/>
      <c r="Q105" s="1523"/>
      <c r="R105" s="2002"/>
      <c r="S105" s="1523"/>
      <c r="T105" s="1523"/>
      <c r="U105" s="905"/>
      <c r="V105" s="1523"/>
      <c r="W105" s="1523"/>
      <c r="X105" s="1523"/>
      <c r="Y105" s="1523"/>
      <c r="Z105" s="1523"/>
      <c r="AA105" s="1998"/>
      <c r="AB105" s="927"/>
      <c r="AC105" s="927"/>
      <c r="AD105" s="927"/>
      <c r="AE105" s="927"/>
    </row>
    <row s="32338" customFormat="1" customHeight="1" ht="11.25">
      <c r="A106" s="1349"/>
      <c r="B106" s="2002"/>
      <c r="C106" s="2002"/>
      <c r="D106" s="712"/>
      <c r="K106" s="1523"/>
      <c r="L106" s="2002"/>
      <c r="M106" s="2002"/>
      <c r="N106" s="1523"/>
      <c r="O106" s="1523"/>
      <c r="P106" s="1523"/>
      <c r="Q106" s="1523"/>
      <c r="R106" s="2002"/>
      <c r="S106" s="1523"/>
      <c r="T106" s="1523"/>
      <c r="U106" s="905"/>
      <c r="V106" s="1523"/>
      <c r="W106" s="1523"/>
      <c r="X106" s="1523"/>
      <c r="Y106" s="1523"/>
      <c r="Z106" s="1523"/>
      <c r="AA106" s="1998"/>
      <c r="AB106" s="927"/>
      <c r="AC106" s="927"/>
      <c r="AD106" s="927"/>
      <c r="AE106" s="927"/>
    </row>
    <row s="32338" customFormat="1" customHeight="1" ht="11.25">
      <c r="A107" s="1349"/>
      <c r="B107" s="2002"/>
      <c r="C107" s="2002"/>
      <c r="D107" s="712"/>
      <c r="K107" s="1523"/>
      <c r="L107" s="2002"/>
      <c r="M107" s="2002"/>
      <c r="N107" s="1523"/>
      <c r="O107" s="1523"/>
      <c r="P107" s="1523"/>
      <c r="Q107" s="1523"/>
      <c r="R107" s="2002"/>
      <c r="S107" s="1523"/>
      <c r="T107" s="1523"/>
      <c r="U107" s="905"/>
      <c r="V107" s="1523"/>
      <c r="W107" s="1523"/>
      <c r="X107" s="1523"/>
      <c r="Y107" s="1523"/>
      <c r="Z107" s="1523"/>
      <c r="AA107" s="1998"/>
      <c r="AB107" s="927"/>
      <c r="AC107" s="927"/>
      <c r="AD107" s="927"/>
      <c r="AE107" s="927"/>
    </row>
    <row s="32338" customFormat="1" customHeight="1" ht="11.25">
      <c r="A108" s="1349"/>
      <c r="B108" s="2002"/>
      <c r="C108" s="2002"/>
      <c r="D108" s="712"/>
      <c r="K108" s="1523"/>
      <c r="L108" s="2002"/>
      <c r="M108" s="2002"/>
      <c r="N108" s="1523"/>
      <c r="O108" s="1523"/>
      <c r="P108" s="1523"/>
      <c r="Q108" s="1523"/>
      <c r="R108" s="2002"/>
      <c r="S108" s="1523"/>
      <c r="T108" s="1523"/>
      <c r="U108" s="905"/>
      <c r="V108" s="1523"/>
      <c r="W108" s="1523"/>
      <c r="X108" s="1523"/>
      <c r="Y108" s="1523"/>
      <c r="Z108" s="1523"/>
      <c r="AA108" s="1998"/>
      <c r="AB108" s="927"/>
      <c r="AC108" s="927"/>
      <c r="AD108" s="927"/>
      <c r="AE108" s="927"/>
    </row>
    <row s="32338" customFormat="1" customHeight="1" ht="11.25">
      <c r="A109" s="1349"/>
      <c r="B109" s="2002"/>
      <c r="C109" s="2002"/>
      <c r="D109" s="712"/>
      <c r="K109" s="1523"/>
      <c r="L109" s="2002"/>
      <c r="M109" s="2002"/>
      <c r="N109" s="1523"/>
      <c r="O109" s="1523"/>
      <c r="P109" s="1523"/>
      <c r="Q109" s="1523"/>
      <c r="R109" s="2002"/>
      <c r="S109" s="1523"/>
      <c r="T109" s="1523"/>
      <c r="U109" s="905"/>
      <c r="V109" s="1523"/>
      <c r="W109" s="1523"/>
      <c r="X109" s="1523"/>
      <c r="Y109" s="1523"/>
      <c r="Z109" s="1523"/>
      <c r="AA109" s="1998"/>
      <c r="AB109" s="927"/>
      <c r="AC109" s="927"/>
      <c r="AD109" s="927"/>
      <c r="AE109" s="927"/>
    </row>
    <row s="32338" customFormat="1" customHeight="1" ht="11.25">
      <c r="A110" s="1349"/>
      <c r="B110" s="2002"/>
      <c r="C110" s="2002"/>
      <c r="D110" s="712"/>
      <c r="K110" s="1523"/>
      <c r="L110" s="2002"/>
      <c r="M110" s="2002"/>
      <c r="N110" s="1523"/>
      <c r="O110" s="1523"/>
      <c r="P110" s="1523"/>
      <c r="Q110" s="1523"/>
      <c r="R110" s="2002"/>
      <c r="S110" s="1523"/>
      <c r="T110" s="1523"/>
      <c r="U110" s="905"/>
      <c r="V110" s="1523"/>
      <c r="W110" s="1523"/>
      <c r="X110" s="1523"/>
      <c r="Y110" s="1523"/>
      <c r="Z110" s="1523"/>
      <c r="AA110" s="1998"/>
      <c r="AB110" s="927"/>
      <c r="AC110" s="927"/>
      <c r="AD110" s="927"/>
      <c r="AE110" s="927"/>
    </row>
    <row s="32338" customFormat="1" customHeight="1" ht="11.25">
      <c r="A111" s="1349"/>
      <c r="B111" s="2002"/>
      <c r="C111" s="2002"/>
      <c r="D111" s="712"/>
      <c r="K111" s="1523"/>
      <c r="L111" s="2002"/>
      <c r="M111" s="2002"/>
      <c r="N111" s="1523"/>
      <c r="O111" s="1523"/>
      <c r="P111" s="1523"/>
      <c r="Q111" s="1523"/>
      <c r="R111" s="2002"/>
      <c r="S111" s="1523"/>
      <c r="T111" s="1523"/>
      <c r="U111" s="905"/>
      <c r="V111" s="1523"/>
      <c r="W111" s="1523"/>
      <c r="X111" s="1523"/>
      <c r="Y111" s="1523"/>
      <c r="Z111" s="1523"/>
      <c r="AA111" s="1998"/>
      <c r="AB111" s="927"/>
      <c r="AC111" s="927"/>
      <c r="AD111" s="927"/>
      <c r="AE111" s="927"/>
    </row>
    <row s="32338" customFormat="1" customHeight="1" ht="11.25">
      <c r="A112" s="1349"/>
      <c r="B112" s="2002"/>
      <c r="C112" s="2002"/>
      <c r="D112" s="712"/>
      <c r="K112" s="1523"/>
      <c r="L112" s="2002"/>
      <c r="M112" s="2002"/>
      <c r="N112" s="1523"/>
      <c r="O112" s="1523"/>
      <c r="P112" s="1523"/>
      <c r="Q112" s="1523"/>
      <c r="R112" s="2002"/>
      <c r="S112" s="1523"/>
      <c r="T112" s="1523"/>
      <c r="U112" s="905"/>
      <c r="V112" s="1523"/>
      <c r="W112" s="1523"/>
      <c r="X112" s="1523"/>
      <c r="Y112" s="1523"/>
      <c r="Z112" s="1523"/>
      <c r="AA112" s="1998"/>
      <c r="AB112" s="927"/>
      <c r="AC112" s="927"/>
      <c r="AD112" s="927"/>
      <c r="AE112" s="927"/>
    </row>
    <row s="32338" customFormat="1" customHeight="1" ht="11.25">
      <c r="A113" s="1349"/>
      <c r="B113" s="2002"/>
      <c r="C113" s="2002"/>
      <c r="D113" s="712"/>
      <c r="K113" s="1523"/>
      <c r="L113" s="2002"/>
      <c r="M113" s="2002"/>
      <c r="N113" s="1523"/>
      <c r="O113" s="1523"/>
      <c r="P113" s="1523"/>
      <c r="Q113" s="1523"/>
      <c r="R113" s="2002"/>
      <c r="S113" s="1523"/>
      <c r="T113" s="1523"/>
      <c r="U113" s="905"/>
      <c r="V113" s="1523"/>
      <c r="W113" s="1523"/>
      <c r="X113" s="1523"/>
      <c r="Y113" s="1523"/>
      <c r="Z113" s="1523"/>
      <c r="AA113" s="1998"/>
      <c r="AB113" s="927"/>
      <c r="AC113" s="927"/>
      <c r="AD113" s="927"/>
      <c r="AE113" s="927"/>
    </row>
    <row s="32338" customFormat="1" customHeight="1" ht="11.25">
      <c r="A114" s="1349"/>
      <c r="B114" s="2002"/>
      <c r="C114" s="2002"/>
      <c r="D114" s="712"/>
      <c r="K114" s="1523"/>
      <c r="L114" s="2002"/>
      <c r="M114" s="2002"/>
      <c r="N114" s="1523"/>
      <c r="O114" s="1523"/>
      <c r="P114" s="1523"/>
      <c r="Q114" s="1523"/>
      <c r="R114" s="2002"/>
      <c r="S114" s="1523"/>
      <c r="T114" s="1523"/>
      <c r="U114" s="905"/>
      <c r="V114" s="1523"/>
      <c r="W114" s="1523"/>
      <c r="X114" s="1523"/>
      <c r="Y114" s="1523"/>
      <c r="Z114" s="1523"/>
      <c r="AA114" s="1998"/>
      <c r="AB114" s="927"/>
      <c r="AC114" s="927"/>
      <c r="AD114" s="927"/>
      <c r="AE114" s="927"/>
    </row>
    <row s="32338" customFormat="1" customHeight="1" ht="11.25">
      <c r="A115" s="1349"/>
      <c r="B115" s="2002"/>
      <c r="C115" s="2002"/>
      <c r="D115" s="712"/>
      <c r="K115" s="1523"/>
      <c r="L115" s="2002"/>
      <c r="M115" s="2002"/>
      <c r="N115" s="1523"/>
      <c r="O115" s="1523"/>
      <c r="P115" s="1523"/>
      <c r="Q115" s="1523"/>
      <c r="R115" s="2002"/>
      <c r="S115" s="1523"/>
      <c r="T115" s="1523"/>
      <c r="U115" s="905"/>
      <c r="V115" s="1523"/>
      <c r="W115" s="1523"/>
      <c r="X115" s="1523"/>
      <c r="Y115" s="1523"/>
      <c r="Z115" s="1523"/>
      <c r="AA115" s="1998"/>
      <c r="AB115" s="927"/>
      <c r="AC115" s="927"/>
      <c r="AD115" s="927"/>
      <c r="AE115" s="927"/>
    </row>
    <row s="32338" customFormat="1" customHeight="1" ht="11.25">
      <c r="A116" s="1349"/>
      <c r="B116" s="2002"/>
      <c r="C116" s="2002"/>
      <c r="D116" s="712"/>
      <c r="K116" s="1523"/>
      <c r="L116" s="2002"/>
      <c r="M116" s="2002"/>
      <c r="N116" s="1523"/>
      <c r="O116" s="1523"/>
      <c r="P116" s="1523"/>
      <c r="Q116" s="1523"/>
      <c r="R116" s="2002"/>
      <c r="S116" s="1523"/>
      <c r="T116" s="1523"/>
      <c r="U116" s="905"/>
      <c r="V116" s="1523"/>
      <c r="W116" s="1523"/>
      <c r="X116" s="1523"/>
      <c r="Y116" s="1523"/>
      <c r="Z116" s="1523"/>
      <c r="AA116" s="1998"/>
      <c r="AB116" s="927"/>
      <c r="AC116" s="927"/>
      <c r="AD116" s="927"/>
      <c r="AE116" s="927"/>
    </row>
    <row s="32338" customFormat="1" customHeight="1" ht="11.25">
      <c r="A117" s="1349"/>
      <c r="B117" s="2002"/>
      <c r="C117" s="2002"/>
      <c r="D117" s="712"/>
      <c r="K117" s="1523"/>
      <c r="L117" s="2002"/>
      <c r="M117" s="2002"/>
      <c r="N117" s="1523"/>
      <c r="O117" s="1523"/>
      <c r="P117" s="1523"/>
      <c r="Q117" s="1523"/>
      <c r="R117" s="2002"/>
      <c r="S117" s="1523"/>
      <c r="T117" s="1523"/>
      <c r="U117" s="905"/>
      <c r="V117" s="1523"/>
      <c r="W117" s="1523"/>
      <c r="X117" s="1523"/>
      <c r="Y117" s="1523"/>
      <c r="Z117" s="1523"/>
      <c r="AA117" s="1998"/>
      <c r="AB117" s="927"/>
      <c r="AC117" s="927"/>
      <c r="AD117" s="927"/>
      <c r="AE117" s="927"/>
    </row>
    <row s="32338" customFormat="1" customHeight="1" ht="11.25">
      <c r="A118" s="1349"/>
      <c r="B118" s="2002"/>
      <c r="C118" s="2002"/>
      <c r="D118" s="712"/>
      <c r="K118" s="1523"/>
      <c r="L118" s="2002"/>
      <c r="M118" s="2002"/>
      <c r="N118" s="1523"/>
      <c r="O118" s="1523"/>
      <c r="P118" s="1523"/>
      <c r="Q118" s="1523"/>
      <c r="R118" s="2002"/>
      <c r="S118" s="1523"/>
      <c r="T118" s="1523"/>
      <c r="U118" s="905"/>
      <c r="V118" s="1523"/>
      <c r="W118" s="1523"/>
      <c r="X118" s="1523"/>
      <c r="Y118" s="1523"/>
      <c r="Z118" s="1523"/>
      <c r="AA118" s="1998"/>
      <c r="AB118" s="927"/>
      <c r="AC118" s="927"/>
      <c r="AD118" s="927"/>
      <c r="AE118" s="927"/>
    </row>
    <row s="32338" customFormat="1" customHeight="1" ht="11.25">
      <c r="A119" s="1349"/>
      <c r="B119" s="2002"/>
      <c r="C119" s="2002"/>
      <c r="D119" s="712"/>
      <c r="K119" s="1523"/>
      <c r="L119" s="2002"/>
      <c r="M119" s="2002"/>
      <c r="N119" s="1523"/>
      <c r="O119" s="1523"/>
      <c r="P119" s="1523"/>
      <c r="Q119" s="1523"/>
      <c r="R119" s="2002"/>
      <c r="S119" s="1523"/>
      <c r="T119" s="1523"/>
      <c r="U119" s="905"/>
      <c r="V119" s="1523"/>
      <c r="W119" s="1523"/>
      <c r="X119" s="1523"/>
      <c r="Y119" s="1523"/>
      <c r="Z119" s="1523"/>
      <c r="AA119" s="1998"/>
      <c r="AB119" s="927"/>
      <c r="AC119" s="927"/>
      <c r="AD119" s="927"/>
      <c r="AE119" s="927"/>
    </row>
    <row s="32338" customFormat="1" customHeight="1" ht="11.25">
      <c r="A120" s="1349"/>
      <c r="B120" s="2002"/>
      <c r="C120" s="2002"/>
      <c r="D120" s="712"/>
      <c r="K120" s="1523"/>
      <c r="L120" s="2002"/>
      <c r="M120" s="2002"/>
      <c r="N120" s="1523"/>
      <c r="O120" s="1523"/>
      <c r="P120" s="1523"/>
      <c r="Q120" s="1523"/>
      <c r="R120" s="2002"/>
      <c r="S120" s="1523"/>
      <c r="T120" s="1523"/>
      <c r="U120" s="905"/>
      <c r="V120" s="1523"/>
      <c r="W120" s="1523"/>
      <c r="X120" s="1523"/>
      <c r="Y120" s="1523"/>
      <c r="Z120" s="1523"/>
      <c r="AA120" s="1998"/>
      <c r="AB120" s="927"/>
      <c r="AC120" s="927"/>
      <c r="AD120" s="927"/>
      <c r="AE120" s="927"/>
    </row>
    <row s="32338" customFormat="1" customHeight="1" ht="11.25">
      <c r="A121" s="1349"/>
      <c r="B121" s="2002"/>
      <c r="C121" s="2002"/>
      <c r="D121" s="712"/>
      <c r="K121" s="1523"/>
      <c r="L121" s="2002"/>
      <c r="M121" s="2002"/>
      <c r="N121" s="1523"/>
      <c r="O121" s="1523"/>
      <c r="P121" s="1523"/>
      <c r="Q121" s="1523"/>
      <c r="R121" s="2002"/>
      <c r="S121" s="1523"/>
      <c r="T121" s="1523"/>
      <c r="U121" s="905"/>
      <c r="V121" s="1523"/>
      <c r="W121" s="1523"/>
      <c r="X121" s="1523"/>
      <c r="Y121" s="1523"/>
      <c r="Z121" s="1523"/>
      <c r="AA121" s="1998"/>
      <c r="AB121" s="927"/>
      <c r="AC121" s="927"/>
      <c r="AD121" s="927"/>
      <c r="AE121" s="927"/>
    </row>
    <row s="32338" customFormat="1" customHeight="1" ht="11.25">
      <c r="A122" s="1349"/>
      <c r="B122" s="2002"/>
      <c r="C122" s="2002"/>
      <c r="D122" s="712"/>
      <c r="K122" s="1523"/>
      <c r="L122" s="2002"/>
      <c r="M122" s="2002"/>
      <c r="N122" s="1523"/>
      <c r="O122" s="1523"/>
      <c r="P122" s="1523"/>
      <c r="Q122" s="1523"/>
      <c r="R122" s="2002"/>
      <c r="S122" s="1523"/>
      <c r="T122" s="1523"/>
      <c r="U122" s="905"/>
      <c r="V122" s="1523"/>
      <c r="W122" s="1523"/>
      <c r="X122" s="1523"/>
      <c r="Y122" s="1523"/>
      <c r="Z122" s="1523"/>
      <c r="AA122" s="1998"/>
      <c r="AB122" s="927"/>
      <c r="AC122" s="927"/>
      <c r="AD122" s="927"/>
      <c r="AE122" s="927"/>
    </row>
    <row s="32338" customFormat="1" customHeight="1" ht="11.25">
      <c r="A123" s="1349"/>
      <c r="B123" s="2002"/>
      <c r="C123" s="2002"/>
      <c r="D123" s="712"/>
      <c r="K123" s="1523"/>
      <c r="L123" s="2002"/>
      <c r="M123" s="2002"/>
      <c r="N123" s="1523"/>
      <c r="O123" s="1523"/>
      <c r="P123" s="1523"/>
      <c r="Q123" s="1523"/>
      <c r="R123" s="2002"/>
      <c r="S123" s="1523"/>
      <c r="T123" s="1523"/>
      <c r="U123" s="905"/>
      <c r="V123" s="1523"/>
      <c r="W123" s="1523"/>
      <c r="X123" s="1523"/>
      <c r="Y123" s="1523"/>
      <c r="Z123" s="1523"/>
      <c r="AA123" s="1998"/>
      <c r="AB123" s="927"/>
      <c r="AC123" s="927"/>
      <c r="AD123" s="927"/>
      <c r="AE123" s="927"/>
    </row>
    <row s="32338" customFormat="1" customHeight="1" ht="11.25">
      <c r="A124" s="1349"/>
      <c r="B124" s="2002"/>
      <c r="C124" s="2002"/>
      <c r="D124" s="712"/>
      <c r="K124" s="1523"/>
      <c r="L124" s="2002"/>
      <c r="M124" s="2002"/>
      <c r="N124" s="1523"/>
      <c r="O124" s="1523"/>
      <c r="P124" s="1523"/>
      <c r="Q124" s="1523"/>
      <c r="R124" s="2002"/>
      <c r="S124" s="1523"/>
      <c r="T124" s="1523"/>
      <c r="U124" s="905"/>
      <c r="V124" s="1523"/>
      <c r="W124" s="1523"/>
      <c r="X124" s="1523"/>
      <c r="Y124" s="1523"/>
      <c r="Z124" s="1523"/>
      <c r="AA124" s="1998"/>
      <c r="AB124" s="927"/>
      <c r="AC124" s="927"/>
      <c r="AD124" s="927"/>
      <c r="AE124" s="927"/>
    </row>
    <row s="32338" customFormat="1" customHeight="1" ht="11.25">
      <c r="A125" s="1349"/>
      <c r="B125" s="2002"/>
      <c r="C125" s="2002"/>
      <c r="D125" s="712"/>
      <c r="K125" s="1523"/>
      <c r="L125" s="2002"/>
      <c r="M125" s="2002"/>
      <c r="N125" s="1523"/>
      <c r="O125" s="1523"/>
      <c r="P125" s="1523"/>
      <c r="Q125" s="1523"/>
      <c r="R125" s="2002"/>
      <c r="S125" s="1523"/>
      <c r="T125" s="1523"/>
      <c r="U125" s="905"/>
      <c r="V125" s="1523"/>
      <c r="W125" s="1523"/>
      <c r="X125" s="1523"/>
      <c r="Y125" s="1523"/>
      <c r="Z125" s="1523"/>
      <c r="AA125" s="1998"/>
      <c r="AB125" s="927"/>
      <c r="AC125" s="927"/>
      <c r="AD125" s="927"/>
      <c r="AE125" s="927"/>
    </row>
    <row s="32338" customFormat="1" customHeight="1" ht="11.25">
      <c r="A126" s="1349"/>
      <c r="B126" s="2002"/>
      <c r="C126" s="2002"/>
      <c r="D126" s="712"/>
      <c r="K126" s="1523"/>
      <c r="L126" s="2002"/>
      <c r="M126" s="2002"/>
      <c r="N126" s="1523"/>
      <c r="O126" s="1523"/>
      <c r="P126" s="1523"/>
      <c r="Q126" s="1523"/>
      <c r="R126" s="2002"/>
      <c r="S126" s="1523"/>
      <c r="T126" s="1523"/>
      <c r="U126" s="905"/>
      <c r="V126" s="1523"/>
      <c r="W126" s="1523"/>
      <c r="X126" s="1523"/>
      <c r="Y126" s="1523"/>
      <c r="Z126" s="1523"/>
      <c r="AA126" s="1998"/>
      <c r="AB126" s="927"/>
      <c r="AC126" s="927"/>
      <c r="AD126" s="927"/>
      <c r="AE126" s="927"/>
    </row>
    <row s="32338" customFormat="1" customHeight="1" ht="11.25">
      <c r="A127" s="1349"/>
      <c r="B127" s="2002"/>
      <c r="C127" s="2002"/>
      <c r="D127" s="712"/>
      <c r="K127" s="1523"/>
      <c r="L127" s="2002"/>
      <c r="M127" s="2002"/>
      <c r="N127" s="1523"/>
      <c r="O127" s="1523"/>
      <c r="P127" s="1523"/>
      <c r="Q127" s="1523"/>
      <c r="R127" s="2002"/>
      <c r="S127" s="1523"/>
      <c r="T127" s="1523"/>
      <c r="U127" s="905"/>
      <c r="V127" s="1523"/>
      <c r="W127" s="1523"/>
      <c r="X127" s="1523"/>
      <c r="Y127" s="1523"/>
      <c r="Z127" s="1523"/>
      <c r="AA127" s="1998"/>
      <c r="AB127" s="927"/>
      <c r="AC127" s="927"/>
      <c r="AD127" s="927"/>
      <c r="AE127" s="927"/>
    </row>
    <row s="32338" customFormat="1" customHeight="1" ht="11.25">
      <c r="A128" s="1349"/>
      <c r="B128" s="2002"/>
      <c r="C128" s="2002"/>
      <c r="D128" s="712"/>
      <c r="K128" s="1523"/>
      <c r="L128" s="2002"/>
      <c r="M128" s="2002"/>
      <c r="N128" s="1523"/>
      <c r="O128" s="1523"/>
      <c r="P128" s="1523"/>
      <c r="Q128" s="1523"/>
      <c r="R128" s="2002"/>
      <c r="S128" s="1523"/>
      <c r="T128" s="1523"/>
      <c r="U128" s="905"/>
      <c r="V128" s="1523"/>
      <c r="W128" s="1523"/>
      <c r="X128" s="1523"/>
      <c r="Y128" s="1523"/>
      <c r="Z128" s="1523"/>
      <c r="AA128" s="1998"/>
      <c r="AB128" s="927"/>
      <c r="AC128" s="927"/>
      <c r="AD128" s="927"/>
      <c r="AE128" s="927"/>
    </row>
    <row s="32338" customFormat="1" customHeight="1" ht="11.25">
      <c r="A129" s="1349"/>
      <c r="B129" s="2002"/>
      <c r="C129" s="2002"/>
      <c r="D129" s="712"/>
      <c r="K129" s="1523"/>
      <c r="L129" s="2002"/>
      <c r="M129" s="2002"/>
      <c r="N129" s="1523"/>
      <c r="O129" s="1523"/>
      <c r="P129" s="1523"/>
      <c r="Q129" s="1523"/>
      <c r="R129" s="2002"/>
      <c r="S129" s="1523"/>
      <c r="T129" s="1523"/>
      <c r="U129" s="905"/>
      <c r="V129" s="1523"/>
      <c r="W129" s="1523"/>
      <c r="X129" s="1523"/>
      <c r="Y129" s="1523"/>
      <c r="Z129" s="1523"/>
      <c r="AA129" s="1998"/>
      <c r="AB129" s="927"/>
      <c r="AC129" s="927"/>
      <c r="AD129" s="927"/>
      <c r="AE129" s="927"/>
    </row>
    <row s="32338" customFormat="1" customHeight="1" ht="11.25">
      <c r="A130" s="1349"/>
      <c r="B130" s="2002"/>
      <c r="C130" s="2002"/>
      <c r="D130" s="712"/>
      <c r="K130" s="1523"/>
      <c r="L130" s="2002"/>
      <c r="M130" s="2002"/>
      <c r="N130" s="1523"/>
      <c r="O130" s="1523"/>
      <c r="P130" s="1523"/>
      <c r="Q130" s="1523"/>
      <c r="R130" s="2002"/>
      <c r="S130" s="1523"/>
      <c r="T130" s="1523"/>
      <c r="U130" s="905"/>
      <c r="V130" s="1523"/>
      <c r="W130" s="1523"/>
      <c r="X130" s="1523"/>
      <c r="Y130" s="1523"/>
      <c r="Z130" s="1523"/>
      <c r="AA130" s="1998"/>
      <c r="AB130" s="927"/>
      <c r="AC130" s="927"/>
      <c r="AD130" s="927"/>
      <c r="AE130" s="927"/>
    </row>
    <row s="32338" customFormat="1" customHeight="1" ht="11.25">
      <c r="A131" s="1349"/>
      <c r="B131" s="2002"/>
      <c r="C131" s="2002"/>
      <c r="D131" s="712"/>
      <c r="K131" s="1523"/>
      <c r="L131" s="2002"/>
      <c r="M131" s="2002"/>
      <c r="N131" s="1523"/>
      <c r="O131" s="1523"/>
      <c r="P131" s="1523"/>
      <c r="Q131" s="1523"/>
      <c r="R131" s="2002"/>
      <c r="S131" s="1523"/>
      <c r="T131" s="1523"/>
      <c r="U131" s="905"/>
      <c r="V131" s="1523"/>
      <c r="W131" s="1523"/>
      <c r="X131" s="1523"/>
      <c r="Y131" s="1523"/>
      <c r="Z131" s="1523"/>
      <c r="AA131" s="1998"/>
      <c r="AB131" s="927"/>
      <c r="AC131" s="927"/>
      <c r="AD131" s="927"/>
      <c r="AE131" s="927"/>
    </row>
    <row s="32338" customFormat="1" customHeight="1" ht="11.25">
      <c r="A132" s="1349"/>
      <c r="B132" s="2002"/>
      <c r="C132" s="2002"/>
      <c r="D132" s="712"/>
      <c r="K132" s="1523"/>
      <c r="L132" s="2002"/>
      <c r="M132" s="2002"/>
      <c r="N132" s="1523"/>
      <c r="O132" s="1523"/>
      <c r="P132" s="1523"/>
      <c r="Q132" s="1523"/>
      <c r="R132" s="2002"/>
      <c r="S132" s="1523"/>
      <c r="T132" s="1523"/>
      <c r="U132" s="905"/>
      <c r="V132" s="1523"/>
      <c r="W132" s="1523"/>
      <c r="X132" s="1523"/>
      <c r="Y132" s="1523"/>
      <c r="Z132" s="1523"/>
      <c r="AA132" s="1998"/>
      <c r="AB132" s="927"/>
      <c r="AC132" s="927"/>
      <c r="AD132" s="927"/>
      <c r="AE132" s="927"/>
    </row>
    <row s="32338" customFormat="1" customHeight="1" ht="11.25">
      <c r="A133" s="1349"/>
      <c r="B133" s="2002"/>
      <c r="C133" s="2002"/>
      <c r="D133" s="712"/>
      <c r="K133" s="1523"/>
      <c r="L133" s="2002"/>
      <c r="M133" s="2002"/>
      <c r="N133" s="1523"/>
      <c r="O133" s="1523"/>
      <c r="P133" s="1523"/>
      <c r="Q133" s="1523"/>
      <c r="R133" s="2002"/>
      <c r="S133" s="1523"/>
      <c r="T133" s="1523"/>
      <c r="U133" s="905"/>
      <c r="V133" s="1523"/>
      <c r="W133" s="1523"/>
      <c r="X133" s="1523"/>
      <c r="Y133" s="1523"/>
      <c r="Z133" s="1523"/>
      <c r="AA133" s="1998"/>
      <c r="AB133" s="927"/>
      <c r="AC133" s="927"/>
      <c r="AD133" s="927"/>
      <c r="AE133" s="927"/>
    </row>
    <row s="32338" customFormat="1" customHeight="1" ht="11.25">
      <c r="A134" s="1349"/>
      <c r="B134" s="2002"/>
      <c r="C134" s="2002"/>
      <c r="D134" s="712"/>
      <c r="K134" s="1523"/>
      <c r="L134" s="2002"/>
      <c r="M134" s="2002"/>
      <c r="N134" s="1523"/>
      <c r="O134" s="1523"/>
      <c r="P134" s="1523"/>
      <c r="Q134" s="1523"/>
      <c r="R134" s="2002"/>
      <c r="S134" s="1523"/>
      <c r="T134" s="1523"/>
      <c r="U134" s="905"/>
      <c r="V134" s="1523"/>
      <c r="W134" s="1523"/>
      <c r="X134" s="1523"/>
      <c r="Y134" s="1523"/>
      <c r="Z134" s="1523"/>
      <c r="AA134" s="1998"/>
      <c r="AB134" s="927"/>
      <c r="AC134" s="927"/>
      <c r="AD134" s="927"/>
      <c r="AE134" s="927"/>
    </row>
    <row s="32338" customFormat="1" customHeight="1" ht="11.25">
      <c r="A135" s="1349"/>
      <c r="B135" s="2002"/>
      <c r="C135" s="2002"/>
      <c r="D135" s="712"/>
      <c r="K135" s="1523"/>
      <c r="L135" s="2002"/>
      <c r="M135" s="2002"/>
      <c r="N135" s="1523"/>
      <c r="O135" s="1523"/>
      <c r="P135" s="1523"/>
      <c r="Q135" s="1523"/>
      <c r="R135" s="2002"/>
      <c r="S135" s="1523"/>
      <c r="T135" s="1523"/>
      <c r="U135" s="905"/>
      <c r="V135" s="1523"/>
      <c r="W135" s="1523"/>
      <c r="X135" s="1523"/>
      <c r="Y135" s="1523"/>
      <c r="Z135" s="1523"/>
      <c r="AA135" s="1998"/>
      <c r="AB135" s="927"/>
      <c r="AC135" s="927"/>
      <c r="AD135" s="927"/>
      <c r="AE135" s="927"/>
    </row>
    <row s="32338" customFormat="1" customHeight="1" ht="11.25">
      <c r="A136" s="1349"/>
      <c r="B136" s="2002"/>
      <c r="C136" s="2002"/>
      <c r="D136" s="712"/>
      <c r="K136" s="1523"/>
      <c r="L136" s="2002"/>
      <c r="M136" s="2002"/>
      <c r="N136" s="1523"/>
      <c r="O136" s="1523"/>
      <c r="P136" s="1523"/>
      <c r="Q136" s="1523"/>
      <c r="R136" s="2002"/>
      <c r="S136" s="1523"/>
      <c r="T136" s="1523"/>
      <c r="U136" s="905"/>
      <c r="V136" s="1523"/>
      <c r="W136" s="1523"/>
      <c r="X136" s="1523"/>
      <c r="Y136" s="1523"/>
      <c r="Z136" s="1523"/>
      <c r="AA136" s="1998"/>
      <c r="AB136" s="927"/>
      <c r="AC136" s="927"/>
      <c r="AD136" s="927"/>
      <c r="AE136" s="927"/>
    </row>
    <row s="32338" customFormat="1" customHeight="1" ht="11.25">
      <c r="A137" s="1349"/>
      <c r="B137" s="2002"/>
      <c r="C137" s="2002"/>
      <c r="D137" s="712"/>
      <c r="K137" s="1523"/>
      <c r="L137" s="2002"/>
      <c r="M137" s="2002"/>
      <c r="N137" s="1523"/>
      <c r="O137" s="1523"/>
      <c r="P137" s="1523"/>
      <c r="Q137" s="1523"/>
      <c r="R137" s="2002"/>
      <c r="S137" s="1523"/>
      <c r="T137" s="1523"/>
      <c r="U137" s="905"/>
      <c r="V137" s="1523"/>
      <c r="W137" s="1523"/>
      <c r="X137" s="1523"/>
      <c r="Y137" s="1523"/>
      <c r="Z137" s="1523"/>
      <c r="AA137" s="1998"/>
      <c r="AB137" s="927"/>
      <c r="AC137" s="927"/>
      <c r="AD137" s="927"/>
      <c r="AE137" s="927"/>
    </row>
    <row s="32338" customFormat="1" customHeight="1" ht="11.25">
      <c r="A138" s="1349"/>
      <c r="B138" s="2002"/>
      <c r="C138" s="2002"/>
      <c r="D138" s="712"/>
      <c r="K138" s="1523"/>
      <c r="L138" s="2002"/>
      <c r="M138" s="2002"/>
      <c r="N138" s="1523"/>
      <c r="O138" s="1523"/>
      <c r="P138" s="1523"/>
      <c r="Q138" s="1523"/>
      <c r="R138" s="2002"/>
      <c r="S138" s="1523"/>
      <c r="T138" s="1523"/>
      <c r="U138" s="905"/>
      <c r="V138" s="1523"/>
      <c r="W138" s="1523"/>
      <c r="X138" s="1523"/>
      <c r="Y138" s="1523"/>
      <c r="Z138" s="1523"/>
      <c r="AA138" s="1998"/>
      <c r="AB138" s="927"/>
      <c r="AC138" s="927"/>
      <c r="AD138" s="927"/>
      <c r="AE138" s="927"/>
    </row>
    <row s="32338" customFormat="1" customHeight="1" ht="11.25">
      <c r="A139" s="1349"/>
      <c r="B139" s="2002"/>
      <c r="C139" s="2002"/>
      <c r="D139" s="712"/>
      <c r="K139" s="1523"/>
      <c r="L139" s="2002"/>
      <c r="M139" s="2002"/>
      <c r="N139" s="1523"/>
      <c r="O139" s="1523"/>
      <c r="P139" s="1523"/>
      <c r="Q139" s="1523"/>
      <c r="R139" s="2002"/>
      <c r="S139" s="1523"/>
      <c r="T139" s="1523"/>
      <c r="U139" s="905"/>
      <c r="V139" s="1523"/>
      <c r="W139" s="1523"/>
      <c r="X139" s="1523"/>
      <c r="Y139" s="1523"/>
      <c r="Z139" s="1523"/>
      <c r="AA139" s="1998"/>
      <c r="AB139" s="927"/>
      <c r="AC139" s="927"/>
      <c r="AD139" s="927"/>
      <c r="AE139" s="927"/>
    </row>
    <row s="32338" customFormat="1" customHeight="1" ht="11.25">
      <c r="A140" s="1349"/>
      <c r="B140" s="2002"/>
      <c r="C140" s="2002"/>
      <c r="D140" s="712"/>
      <c r="K140" s="1523"/>
      <c r="L140" s="2002"/>
      <c r="M140" s="2002"/>
      <c r="N140" s="1523"/>
      <c r="O140" s="1523"/>
      <c r="P140" s="1523"/>
      <c r="Q140" s="1523"/>
      <c r="R140" s="2002"/>
      <c r="S140" s="1523"/>
      <c r="T140" s="1523"/>
      <c r="U140" s="905"/>
      <c r="V140" s="1523"/>
      <c r="W140" s="1523"/>
      <c r="X140" s="1523"/>
      <c r="Y140" s="1523"/>
      <c r="Z140" s="1523"/>
      <c r="AA140" s="1998"/>
      <c r="AB140" s="927"/>
      <c r="AC140" s="927"/>
      <c r="AD140" s="927"/>
      <c r="AE140" s="927"/>
    </row>
    <row s="32338" customFormat="1" customHeight="1" ht="11.25">
      <c r="A141" s="1349"/>
      <c r="B141" s="2002"/>
      <c r="C141" s="2002"/>
      <c r="D141" s="712"/>
      <c r="K141" s="1523"/>
      <c r="L141" s="2002"/>
      <c r="M141" s="2002"/>
      <c r="N141" s="1523"/>
      <c r="O141" s="1523"/>
      <c r="P141" s="1523"/>
      <c r="Q141" s="1523"/>
      <c r="R141" s="2002"/>
      <c r="S141" s="1523"/>
      <c r="T141" s="1523"/>
      <c r="U141" s="905"/>
      <c r="V141" s="1523"/>
      <c r="W141" s="1523"/>
      <c r="X141" s="1523"/>
      <c r="Y141" s="1523"/>
      <c r="Z141" s="1523"/>
      <c r="AA141" s="1998"/>
      <c r="AB141" s="927"/>
      <c r="AC141" s="927"/>
      <c r="AD141" s="927"/>
      <c r="AE141" s="927"/>
    </row>
    <row s="32338" customFormat="1" customHeight="1" ht="11.25">
      <c r="A142" s="1349"/>
      <c r="B142" s="2002"/>
      <c r="C142" s="2002"/>
      <c r="D142" s="712"/>
      <c r="K142" s="1523"/>
      <c r="L142" s="2002"/>
      <c r="M142" s="2002"/>
      <c r="N142" s="1523"/>
      <c r="O142" s="1523"/>
      <c r="P142" s="1523"/>
      <c r="Q142" s="1523"/>
      <c r="R142" s="2002"/>
      <c r="S142" s="1523"/>
      <c r="T142" s="1523"/>
      <c r="U142" s="905"/>
      <c r="V142" s="1523"/>
      <c r="W142" s="1523"/>
      <c r="X142" s="1523"/>
      <c r="Y142" s="1523"/>
      <c r="Z142" s="1523"/>
      <c r="AA142" s="1998"/>
      <c r="AB142" s="927"/>
      <c r="AC142" s="927"/>
      <c r="AD142" s="927"/>
      <c r="AE142" s="927"/>
    </row>
    <row s="32338" customFormat="1" customHeight="1" ht="11.25">
      <c r="A143" s="1349"/>
      <c r="B143" s="2002"/>
      <c r="C143" s="2002"/>
      <c r="D143" s="712"/>
      <c r="K143" s="1523"/>
      <c r="L143" s="2002"/>
      <c r="M143" s="2002"/>
      <c r="N143" s="1523"/>
      <c r="O143" s="1523"/>
      <c r="P143" s="1523"/>
      <c r="Q143" s="1523"/>
      <c r="R143" s="2002"/>
      <c r="S143" s="1523"/>
      <c r="T143" s="1523"/>
      <c r="U143" s="905"/>
      <c r="V143" s="1523"/>
      <c r="W143" s="1523"/>
      <c r="X143" s="1523"/>
      <c r="Y143" s="1523"/>
      <c r="Z143" s="1523"/>
      <c r="AA143" s="1998"/>
      <c r="AB143" s="927"/>
      <c r="AC143" s="927"/>
      <c r="AD143" s="927"/>
      <c r="AE143" s="927"/>
    </row>
    <row s="32338" customFormat="1" customHeight="1" ht="11.25">
      <c r="A144" s="1349"/>
      <c r="B144" s="2002"/>
      <c r="C144" s="2002"/>
      <c r="D144" s="712"/>
      <c r="K144" s="1523"/>
      <c r="L144" s="2002"/>
      <c r="M144" s="2002"/>
      <c r="N144" s="1523"/>
      <c r="O144" s="1523"/>
      <c r="P144" s="1523"/>
      <c r="Q144" s="1523"/>
      <c r="R144" s="2002"/>
      <c r="S144" s="1523"/>
      <c r="T144" s="1523"/>
      <c r="U144" s="905"/>
      <c r="V144" s="1523"/>
      <c r="W144" s="1523"/>
      <c r="X144" s="1523"/>
      <c r="Y144" s="1523"/>
      <c r="Z144" s="1523"/>
      <c r="AA144" s="1998"/>
      <c r="AB144" s="927"/>
      <c r="AC144" s="927"/>
      <c r="AD144" s="927"/>
      <c r="AE144" s="927"/>
    </row>
    <row s="32338" customFormat="1" customHeight="1" ht="11.25">
      <c r="A145" s="1349"/>
      <c r="B145" s="2002"/>
      <c r="C145" s="2002"/>
      <c r="D145" s="712"/>
      <c r="K145" s="1523"/>
      <c r="L145" s="2002"/>
      <c r="M145" s="2002"/>
      <c r="N145" s="1523"/>
      <c r="O145" s="1523"/>
      <c r="P145" s="1523"/>
      <c r="Q145" s="1523"/>
      <c r="R145" s="2002"/>
      <c r="S145" s="1523"/>
      <c r="T145" s="1523"/>
      <c r="U145" s="905"/>
      <c r="V145" s="1523"/>
      <c r="W145" s="1523"/>
      <c r="X145" s="1523"/>
      <c r="Y145" s="1523"/>
      <c r="Z145" s="1523"/>
      <c r="AA145" s="1998"/>
      <c r="AB145" s="927"/>
      <c r="AC145" s="927"/>
      <c r="AD145" s="927"/>
      <c r="AE145" s="927"/>
    </row>
    <row s="32338" customFormat="1" customHeight="1" ht="11.25">
      <c r="A146" s="1349"/>
      <c r="B146" s="2002"/>
      <c r="C146" s="2002"/>
      <c r="D146" s="712"/>
      <c r="K146" s="1523"/>
      <c r="L146" s="2002"/>
      <c r="M146" s="2002"/>
      <c r="N146" s="1523"/>
      <c r="O146" s="1523"/>
      <c r="P146" s="1523"/>
      <c r="Q146" s="1523"/>
      <c r="R146" s="2002"/>
      <c r="S146" s="1523"/>
      <c r="T146" s="1523"/>
      <c r="U146" s="905"/>
      <c r="V146" s="1523"/>
      <c r="W146" s="1523"/>
      <c r="X146" s="1523"/>
      <c r="Y146" s="1523"/>
      <c r="Z146" s="1523"/>
      <c r="AA146" s="1998"/>
      <c r="AB146" s="927"/>
      <c r="AC146" s="927"/>
      <c r="AD146" s="927"/>
      <c r="AE146" s="927"/>
    </row>
    <row s="32338" customFormat="1" customHeight="1" ht="11.25">
      <c r="A147" s="1349"/>
      <c r="B147" s="2002"/>
      <c r="C147" s="2002"/>
      <c r="D147" s="712"/>
      <c r="K147" s="1523"/>
      <c r="L147" s="2002"/>
      <c r="M147" s="2002"/>
      <c r="N147" s="1523"/>
      <c r="O147" s="1523"/>
      <c r="P147" s="1523"/>
      <c r="Q147" s="1523"/>
      <c r="R147" s="2002"/>
      <c r="S147" s="1523"/>
      <c r="T147" s="1523"/>
      <c r="U147" s="905"/>
      <c r="V147" s="1523"/>
      <c r="W147" s="1523"/>
      <c r="X147" s="1523"/>
      <c r="Y147" s="1523"/>
      <c r="Z147" s="1523"/>
      <c r="AA147" s="1998"/>
      <c r="AB147" s="927"/>
      <c r="AC147" s="927"/>
      <c r="AD147" s="927"/>
      <c r="AE147" s="927"/>
    </row>
    <row s="32338" customFormat="1" customHeight="1" ht="11.25">
      <c r="A148" s="1349"/>
      <c r="B148" s="2002"/>
      <c r="C148" s="2002"/>
      <c r="D148" s="712"/>
      <c r="K148" s="1523"/>
      <c r="L148" s="2002"/>
      <c r="M148" s="2002"/>
      <c r="N148" s="1523"/>
      <c r="O148" s="1523"/>
      <c r="P148" s="1523"/>
      <c r="Q148" s="1523"/>
      <c r="R148" s="2002"/>
      <c r="S148" s="1523"/>
      <c r="T148" s="1523"/>
      <c r="U148" s="905"/>
      <c r="V148" s="1523"/>
      <c r="W148" s="1523"/>
      <c r="X148" s="1523"/>
      <c r="Y148" s="1523"/>
      <c r="Z148" s="1523"/>
      <c r="AA148" s="1998"/>
      <c r="AB148" s="927"/>
      <c r="AC148" s="927"/>
      <c r="AD148" s="927"/>
      <c r="AE148" s="927"/>
    </row>
    <row s="32338" customFormat="1" customHeight="1" ht="11.25">
      <c r="A149" s="1349"/>
      <c r="B149" s="2002"/>
      <c r="C149" s="2002"/>
      <c r="D149" s="712"/>
      <c r="K149" s="1523"/>
      <c r="L149" s="2002"/>
      <c r="M149" s="2002"/>
      <c r="N149" s="1523"/>
      <c r="O149" s="1523"/>
      <c r="P149" s="1523"/>
      <c r="Q149" s="1523"/>
      <c r="R149" s="2002"/>
      <c r="S149" s="1523"/>
      <c r="T149" s="1523"/>
      <c r="U149" s="905"/>
      <c r="V149" s="1523"/>
      <c r="W149" s="1523"/>
      <c r="X149" s="1523"/>
      <c r="Y149" s="1523"/>
      <c r="Z149" s="1523"/>
      <c r="AA149" s="1998"/>
      <c r="AB149" s="927"/>
      <c r="AC149" s="927"/>
      <c r="AD149" s="927"/>
      <c r="AE149" s="927"/>
    </row>
    <row s="32338" customFormat="1" customHeight="1" ht="11.25">
      <c r="A150" s="1349"/>
      <c r="B150" s="2002"/>
      <c r="C150" s="2002"/>
      <c r="D150" s="712"/>
      <c r="K150" s="1523"/>
      <c r="L150" s="2002"/>
      <c r="M150" s="2002"/>
      <c r="N150" s="1523"/>
      <c r="O150" s="1523"/>
      <c r="P150" s="1523"/>
      <c r="Q150" s="1523"/>
      <c r="R150" s="2002"/>
      <c r="S150" s="1523"/>
      <c r="T150" s="1523"/>
      <c r="U150" s="905"/>
      <c r="V150" s="1523"/>
      <c r="W150" s="1523"/>
      <c r="X150" s="1523"/>
      <c r="Y150" s="1523"/>
      <c r="Z150" s="1523"/>
      <c r="AA150" s="1998"/>
      <c r="AB150" s="927"/>
      <c r="AC150" s="927"/>
      <c r="AD150" s="927"/>
      <c r="AE150" s="927"/>
    </row>
    <row s="32338" customFormat="1" customHeight="1" ht="11.25">
      <c r="A151" s="1349"/>
      <c r="B151" s="2002"/>
      <c r="C151" s="2002"/>
      <c r="D151" s="712"/>
      <c r="K151" s="1523"/>
      <c r="L151" s="2002"/>
      <c r="M151" s="2002"/>
      <c r="N151" s="1523"/>
      <c r="O151" s="1523"/>
      <c r="P151" s="1523"/>
      <c r="Q151" s="1523"/>
      <c r="R151" s="2002"/>
      <c r="S151" s="1523"/>
      <c r="T151" s="1523"/>
      <c r="U151" s="905"/>
      <c r="V151" s="1523"/>
      <c r="W151" s="1523"/>
      <c r="X151" s="1523"/>
      <c r="Y151" s="1523"/>
      <c r="Z151" s="1523"/>
      <c r="AA151" s="1998"/>
      <c r="AB151" s="927"/>
      <c r="AC151" s="927"/>
      <c r="AD151" s="927"/>
      <c r="AE151" s="927"/>
    </row>
    <row s="32338" customFormat="1" customHeight="1" ht="11.25">
      <c r="A152" s="1349"/>
      <c r="B152" s="2002"/>
      <c r="C152" s="2002"/>
      <c r="D152" s="712"/>
      <c r="K152" s="1523"/>
      <c r="L152" s="2002"/>
      <c r="M152" s="2002"/>
      <c r="N152" s="1523"/>
      <c r="O152" s="1523"/>
      <c r="P152" s="1523"/>
      <c r="Q152" s="1523"/>
      <c r="R152" s="2002"/>
      <c r="S152" s="1523"/>
      <c r="T152" s="1523"/>
      <c r="U152" s="905"/>
      <c r="V152" s="1523"/>
      <c r="W152" s="1523"/>
      <c r="X152" s="1523"/>
      <c r="Y152" s="1523"/>
      <c r="Z152" s="1523"/>
      <c r="AA152" s="1998"/>
      <c r="AB152" s="927"/>
      <c r="AC152" s="927"/>
      <c r="AD152" s="927"/>
      <c r="AE152" s="927"/>
    </row>
    <row s="32338" customFormat="1" customHeight="1" ht="11.25">
      <c r="A153" s="1349"/>
      <c r="B153" s="2002"/>
      <c r="C153" s="2002"/>
      <c r="D153" s="712"/>
      <c r="K153" s="1523"/>
      <c r="L153" s="2002"/>
      <c r="M153" s="2002"/>
      <c r="N153" s="1523"/>
      <c r="O153" s="1523"/>
      <c r="P153" s="1523"/>
      <c r="Q153" s="1523"/>
      <c r="R153" s="2002"/>
      <c r="S153" s="1523"/>
      <c r="T153" s="1523"/>
      <c r="U153" s="905"/>
      <c r="V153" s="1523"/>
      <c r="W153" s="1523"/>
      <c r="X153" s="1523"/>
      <c r="Y153" s="1523"/>
      <c r="Z153" s="1523"/>
      <c r="AA153" s="1998"/>
      <c r="AB153" s="927"/>
      <c r="AC153" s="927"/>
      <c r="AD153" s="927"/>
      <c r="AE153" s="927"/>
    </row>
    <row s="32338" customFormat="1" customHeight="1" ht="11.25">
      <c r="A154" s="1349"/>
      <c r="B154" s="2002"/>
      <c r="C154" s="2002"/>
      <c r="D154" s="712"/>
      <c r="K154" s="1523"/>
      <c r="L154" s="2002"/>
      <c r="M154" s="2002"/>
      <c r="N154" s="1523"/>
      <c r="O154" s="1523"/>
      <c r="P154" s="1523"/>
      <c r="Q154" s="1523"/>
      <c r="R154" s="2002"/>
      <c r="S154" s="1523"/>
      <c r="T154" s="1523"/>
      <c r="U154" s="905"/>
      <c r="V154" s="1523"/>
      <c r="W154" s="1523"/>
      <c r="X154" s="1523"/>
      <c r="Y154" s="1523"/>
      <c r="Z154" s="1523"/>
      <c r="AA154" s="1998"/>
      <c r="AB154" s="927"/>
      <c r="AC154" s="927"/>
      <c r="AD154" s="927"/>
      <c r="AE154" s="927"/>
    </row>
    <row s="32338" customFormat="1" customHeight="1" ht="11.25">
      <c r="A155" s="1349"/>
      <c r="B155" s="2002"/>
      <c r="C155" s="2002"/>
      <c r="D155" s="712"/>
      <c r="K155" s="1523"/>
      <c r="L155" s="2002"/>
      <c r="M155" s="2002"/>
      <c r="N155" s="1523"/>
      <c r="O155" s="1523"/>
      <c r="P155" s="1523"/>
      <c r="Q155" s="1523"/>
      <c r="R155" s="2002"/>
      <c r="S155" s="1523"/>
      <c r="T155" s="1523"/>
      <c r="U155" s="905"/>
      <c r="V155" s="1523"/>
      <c r="W155" s="1523"/>
      <c r="X155" s="1523"/>
      <c r="Y155" s="1523"/>
      <c r="Z155" s="1523"/>
      <c r="AA155" s="1998"/>
      <c r="AB155" s="927"/>
      <c r="AC155" s="927"/>
      <c r="AD155" s="927"/>
      <c r="AE155" s="927"/>
    </row>
    <row s="32338" customFormat="1" customHeight="1" ht="11.25">
      <c r="A156" s="1349"/>
      <c r="B156" s="2002"/>
      <c r="C156" s="2002"/>
      <c r="D156" s="712"/>
      <c r="K156" s="1523"/>
      <c r="L156" s="2002"/>
      <c r="M156" s="2002"/>
      <c r="N156" s="1523"/>
      <c r="O156" s="1523"/>
      <c r="P156" s="1523"/>
      <c r="Q156" s="1523"/>
      <c r="R156" s="2002"/>
      <c r="S156" s="1523"/>
      <c r="T156" s="1523"/>
      <c r="U156" s="905"/>
      <c r="V156" s="1523"/>
      <c r="W156" s="1523"/>
      <c r="X156" s="1523"/>
      <c r="Y156" s="1523"/>
      <c r="Z156" s="1523"/>
      <c r="AA156" s="1998"/>
      <c r="AB156" s="927"/>
      <c r="AC156" s="927"/>
      <c r="AD156" s="927"/>
      <c r="AE156" s="927"/>
    </row>
    <row s="32338" customFormat="1" customHeight="1" ht="11.25">
      <c r="A157" s="1349"/>
      <c r="B157" s="2002"/>
      <c r="C157" s="2002"/>
      <c r="D157" s="712"/>
      <c r="K157" s="1523"/>
      <c r="L157" s="2002"/>
      <c r="M157" s="2002"/>
      <c r="N157" s="1523"/>
      <c r="O157" s="1523"/>
      <c r="P157" s="1523"/>
      <c r="Q157" s="1523"/>
      <c r="R157" s="2002"/>
      <c r="S157" s="1523"/>
      <c r="T157" s="1523"/>
      <c r="U157" s="905"/>
      <c r="V157" s="1523"/>
      <c r="W157" s="1523"/>
      <c r="X157" s="1523"/>
      <c r="Y157" s="1523"/>
      <c r="Z157" s="1523"/>
      <c r="AA157" s="1998"/>
      <c r="AB157" s="927"/>
      <c r="AC157" s="927"/>
      <c r="AD157" s="927"/>
      <c r="AE157" s="927"/>
    </row>
    <row s="32338" customFormat="1" customHeight="1" ht="11.25">
      <c r="A158" s="1349"/>
      <c r="B158" s="2002"/>
      <c r="C158" s="2002"/>
      <c r="D158" s="712"/>
      <c r="K158" s="1523"/>
      <c r="L158" s="2002"/>
      <c r="M158" s="2002"/>
      <c r="N158" s="1523"/>
      <c r="O158" s="1523"/>
      <c r="P158" s="1523"/>
      <c r="Q158" s="1523"/>
      <c r="R158" s="2002"/>
      <c r="S158" s="1523"/>
      <c r="T158" s="1523"/>
      <c r="U158" s="905"/>
      <c r="V158" s="1523"/>
      <c r="W158" s="1523"/>
      <c r="X158" s="1523"/>
      <c r="Y158" s="1523"/>
      <c r="Z158" s="1523"/>
      <c r="AA158" s="1998"/>
      <c r="AB158" s="927"/>
      <c r="AC158" s="927"/>
      <c r="AD158" s="927"/>
      <c r="AE158" s="927"/>
    </row>
    <row s="32338" customFormat="1" customHeight="1" ht="11.25">
      <c r="A159" s="1349"/>
      <c r="B159" s="2002"/>
      <c r="C159" s="2002"/>
      <c r="D159" s="712"/>
      <c r="K159" s="1523"/>
      <c r="L159" s="2002"/>
      <c r="M159" s="2002"/>
      <c r="N159" s="1523"/>
      <c r="O159" s="1523"/>
      <c r="P159" s="1523"/>
      <c r="Q159" s="1523"/>
      <c r="R159" s="2002"/>
      <c r="S159" s="1523"/>
      <c r="T159" s="1523"/>
      <c r="U159" s="905"/>
      <c r="V159" s="1523"/>
      <c r="W159" s="1523"/>
      <c r="X159" s="1523"/>
      <c r="Y159" s="1523"/>
      <c r="Z159" s="1523"/>
      <c r="AA159" s="1998"/>
      <c r="AB159" s="927"/>
      <c r="AC159" s="927"/>
      <c r="AD159" s="927"/>
      <c r="AE159" s="927"/>
    </row>
    <row s="32338" customFormat="1" customHeight="1" ht="11.25">
      <c r="A160" s="1349"/>
      <c r="B160" s="2002"/>
      <c r="C160" s="2002"/>
      <c r="D160" s="712"/>
      <c r="K160" s="1523"/>
      <c r="L160" s="2002"/>
      <c r="M160" s="2002"/>
      <c r="N160" s="1523"/>
      <c r="O160" s="1523"/>
      <c r="P160" s="1523"/>
      <c r="Q160" s="1523"/>
      <c r="R160" s="2002"/>
      <c r="S160" s="1523"/>
      <c r="T160" s="1523"/>
      <c r="U160" s="905"/>
      <c r="V160" s="1523"/>
      <c r="W160" s="1523"/>
      <c r="X160" s="1523"/>
      <c r="Y160" s="1523"/>
      <c r="Z160" s="1523"/>
      <c r="AA160" s="1998"/>
      <c r="AB160" s="927"/>
      <c r="AC160" s="927"/>
      <c r="AD160" s="927"/>
      <c r="AE160" s="927"/>
    </row>
    <row s="32338" customFormat="1" customHeight="1" ht="11.25">
      <c r="A161" s="1349"/>
      <c r="B161" s="2002"/>
      <c r="C161" s="2002"/>
      <c r="D161" s="712"/>
      <c r="K161" s="1523"/>
      <c r="L161" s="2002"/>
      <c r="M161" s="2002"/>
      <c r="N161" s="1523"/>
      <c r="O161" s="1523"/>
      <c r="P161" s="1523"/>
      <c r="Q161" s="1523"/>
      <c r="R161" s="2002"/>
      <c r="S161" s="1523"/>
      <c r="T161" s="1523"/>
      <c r="U161" s="905"/>
      <c r="V161" s="1523"/>
      <c r="W161" s="1523"/>
      <c r="X161" s="1523"/>
      <c r="Y161" s="1523"/>
      <c r="Z161" s="1523"/>
      <c r="AA161" s="1998"/>
      <c r="AB161" s="927"/>
      <c r="AC161" s="927"/>
      <c r="AD161" s="927"/>
      <c r="AE161" s="927"/>
    </row>
    <row s="32338" customFormat="1" customHeight="1" ht="11.25">
      <c r="A162" s="1349"/>
      <c r="B162" s="2002"/>
      <c r="C162" s="2002"/>
      <c r="D162" s="712"/>
      <c r="K162" s="1523"/>
      <c r="L162" s="2002"/>
      <c r="M162" s="2002"/>
      <c r="N162" s="1523"/>
      <c r="O162" s="1523"/>
      <c r="P162" s="1523"/>
      <c r="Q162" s="1523"/>
      <c r="R162" s="2002"/>
      <c r="S162" s="1523"/>
      <c r="T162" s="1523"/>
      <c r="U162" s="905"/>
      <c r="V162" s="1523"/>
      <c r="W162" s="1523"/>
      <c r="X162" s="1523"/>
      <c r="Y162" s="1523"/>
      <c r="Z162" s="1523"/>
      <c r="AA162" s="1998"/>
      <c r="AB162" s="927"/>
      <c r="AC162" s="927"/>
      <c r="AD162" s="927"/>
      <c r="AE162" s="927"/>
    </row>
    <row s="32338" customFormat="1" customHeight="1" ht="11.25">
      <c r="A163" s="1349"/>
      <c r="B163" s="2002"/>
      <c r="C163" s="2002"/>
      <c r="D163" s="712"/>
      <c r="K163" s="1523"/>
      <c r="L163" s="2002"/>
      <c r="M163" s="2002"/>
      <c r="N163" s="1523"/>
      <c r="O163" s="1523"/>
      <c r="P163" s="1523"/>
      <c r="Q163" s="1523"/>
      <c r="R163" s="2002"/>
      <c r="S163" s="1523"/>
      <c r="T163" s="1523"/>
      <c r="U163" s="905"/>
      <c r="V163" s="1523"/>
      <c r="W163" s="1523"/>
      <c r="X163" s="1523"/>
      <c r="Y163" s="1523"/>
      <c r="Z163" s="1523"/>
      <c r="AA163" s="1998"/>
      <c r="AB163" s="927"/>
      <c r="AC163" s="927"/>
      <c r="AD163" s="927"/>
      <c r="AE163" s="927"/>
    </row>
    <row s="32338" customFormat="1" customHeight="1" ht="11.25">
      <c r="A164" s="1349"/>
      <c r="B164" s="2002"/>
      <c r="C164" s="2002"/>
      <c r="D164" s="712"/>
      <c r="K164" s="1523"/>
      <c r="L164" s="2002"/>
      <c r="M164" s="2002"/>
      <c r="N164" s="1523"/>
      <c r="O164" s="1523"/>
      <c r="P164" s="1523"/>
      <c r="Q164" s="1523"/>
      <c r="R164" s="2002"/>
      <c r="S164" s="1523"/>
      <c r="T164" s="1523"/>
      <c r="U164" s="905"/>
      <c r="V164" s="1523"/>
      <c r="W164" s="1523"/>
      <c r="X164" s="1523"/>
      <c r="Y164" s="1523"/>
      <c r="Z164" s="1523"/>
      <c r="AA164" s="1998"/>
      <c r="AB164" s="927"/>
      <c r="AC164" s="927"/>
      <c r="AD164" s="927"/>
      <c r="AE164" s="927"/>
    </row>
    <row s="32338" customFormat="1" customHeight="1" ht="11.25">
      <c r="A165" s="1349"/>
      <c r="B165" s="2002"/>
      <c r="C165" s="2002"/>
      <c r="D165" s="712"/>
      <c r="K165" s="1523"/>
      <c r="L165" s="2002"/>
      <c r="M165" s="2002"/>
      <c r="N165" s="1523"/>
      <c r="O165" s="1523"/>
      <c r="P165" s="1523"/>
      <c r="Q165" s="1523"/>
      <c r="R165" s="2002"/>
      <c r="S165" s="1523"/>
      <c r="T165" s="1523"/>
      <c r="U165" s="905"/>
      <c r="V165" s="1523"/>
      <c r="W165" s="1523"/>
      <c r="X165" s="1523"/>
      <c r="Y165" s="1523"/>
      <c r="Z165" s="1523"/>
      <c r="AA165" s="1998"/>
      <c r="AB165" s="927"/>
      <c r="AC165" s="927"/>
      <c r="AD165" s="927"/>
      <c r="AE165" s="927"/>
    </row>
    <row s="32338" customFormat="1" customHeight="1" ht="11.25">
      <c r="A166" s="1349"/>
      <c r="B166" s="2002"/>
      <c r="C166" s="2002"/>
      <c r="D166" s="712"/>
      <c r="K166" s="1523"/>
      <c r="L166" s="2002"/>
      <c r="M166" s="2002"/>
      <c r="N166" s="1523"/>
      <c r="O166" s="1523"/>
      <c r="P166" s="1523"/>
      <c r="Q166" s="1523"/>
      <c r="R166" s="2002"/>
      <c r="S166" s="1523"/>
      <c r="T166" s="1523"/>
      <c r="U166" s="905"/>
      <c r="V166" s="1523"/>
      <c r="W166" s="1523"/>
      <c r="X166" s="1523"/>
      <c r="Y166" s="1523"/>
      <c r="Z166" s="1523"/>
      <c r="AA166" s="1998"/>
      <c r="AB166" s="927"/>
      <c r="AC166" s="927"/>
      <c r="AD166" s="927"/>
      <c r="AE166" s="927"/>
    </row>
    <row s="32338" customFormat="1" customHeight="1" ht="11.25">
      <c r="A167" s="1349"/>
      <c r="B167" s="2002"/>
      <c r="C167" s="2002"/>
      <c r="D167" s="712"/>
      <c r="K167" s="1523"/>
      <c r="L167" s="2002"/>
      <c r="M167" s="2002"/>
      <c r="N167" s="1523"/>
      <c r="O167" s="1523"/>
      <c r="P167" s="1523"/>
      <c r="Q167" s="1523"/>
      <c r="R167" s="2002"/>
      <c r="S167" s="1523"/>
      <c r="T167" s="1523"/>
      <c r="U167" s="905"/>
      <c r="V167" s="1523"/>
      <c r="W167" s="1523"/>
      <c r="X167" s="1523"/>
      <c r="Y167" s="1523"/>
      <c r="Z167" s="1523"/>
      <c r="AA167" s="1998"/>
      <c r="AB167" s="927"/>
      <c r="AC167" s="927"/>
      <c r="AD167" s="927"/>
      <c r="AE167" s="927"/>
    </row>
    <row s="32338" customFormat="1" customHeight="1" ht="11.25">
      <c r="A168" s="1349"/>
      <c r="B168" s="2002"/>
      <c r="C168" s="2002"/>
      <c r="D168" s="712"/>
      <c r="K168" s="1523"/>
      <c r="L168" s="2002"/>
      <c r="M168" s="2002"/>
      <c r="N168" s="1523"/>
      <c r="O168" s="1523"/>
      <c r="P168" s="1523"/>
      <c r="Q168" s="1523"/>
      <c r="R168" s="2002"/>
      <c r="S168" s="1523"/>
      <c r="T168" s="1523"/>
      <c r="U168" s="905"/>
      <c r="V168" s="1523"/>
      <c r="W168" s="1523"/>
      <c r="X168" s="1523"/>
      <c r="Y168" s="1523"/>
      <c r="Z168" s="1523"/>
      <c r="AA168" s="1998"/>
      <c r="AB168" s="927"/>
      <c r="AC168" s="927"/>
      <c r="AD168" s="927"/>
      <c r="AE168" s="927"/>
    </row>
    <row s="32338" customFormat="1" customHeight="1" ht="11.25">
      <c r="A169" s="1349"/>
      <c r="B169" s="2002"/>
      <c r="C169" s="2002"/>
      <c r="D169" s="712"/>
      <c r="K169" s="1523"/>
      <c r="L169" s="2002"/>
      <c r="M169" s="2002"/>
      <c r="N169" s="1523"/>
      <c r="O169" s="1523"/>
      <c r="P169" s="1523"/>
      <c r="Q169" s="1523"/>
      <c r="R169" s="2002"/>
      <c r="S169" s="1523"/>
      <c r="T169" s="1523"/>
      <c r="U169" s="905"/>
      <c r="V169" s="1523"/>
      <c r="W169" s="1523"/>
      <c r="X169" s="1523"/>
      <c r="Y169" s="1523"/>
      <c r="Z169" s="1523"/>
      <c r="AA169" s="1998"/>
      <c r="AB169" s="927"/>
      <c r="AC169" s="927"/>
      <c r="AD169" s="927"/>
      <c r="AE169" s="927"/>
    </row>
    <row s="32338" customFormat="1" customHeight="1" ht="11.25">
      <c r="A170" s="1349"/>
      <c r="B170" s="2002"/>
      <c r="C170" s="2002"/>
      <c r="D170" s="712"/>
      <c r="K170" s="1523"/>
      <c r="L170" s="2002"/>
      <c r="M170" s="2002"/>
      <c r="N170" s="1523"/>
      <c r="O170" s="1523"/>
      <c r="P170" s="1523"/>
      <c r="Q170" s="1523"/>
      <c r="R170" s="2002"/>
      <c r="S170" s="1523"/>
      <c r="T170" s="1523"/>
      <c r="U170" s="905"/>
      <c r="V170" s="1523"/>
      <c r="W170" s="1523"/>
      <c r="X170" s="1523"/>
      <c r="Y170" s="1523"/>
      <c r="Z170" s="1523"/>
      <c r="AA170" s="1998"/>
      <c r="AB170" s="927"/>
      <c r="AC170" s="927"/>
      <c r="AD170" s="927"/>
      <c r="AE170" s="927"/>
    </row>
    <row s="32338" customFormat="1" customHeight="1" ht="11.25">
      <c r="A171" s="1349"/>
      <c r="B171" s="2002"/>
      <c r="C171" s="2002"/>
      <c r="D171" s="712"/>
      <c r="K171" s="1523"/>
      <c r="L171" s="2002"/>
      <c r="M171" s="2002"/>
      <c r="N171" s="1523"/>
      <c r="O171" s="1523"/>
      <c r="P171" s="1523"/>
      <c r="Q171" s="1523"/>
      <c r="R171" s="2002"/>
      <c r="S171" s="1523"/>
      <c r="T171" s="1523"/>
      <c r="U171" s="905"/>
      <c r="V171" s="1523"/>
      <c r="W171" s="1523"/>
      <c r="X171" s="1523"/>
      <c r="Y171" s="1523"/>
      <c r="Z171" s="1523"/>
      <c r="AA171" s="1998"/>
      <c r="AB171" s="927"/>
      <c r="AC171" s="927"/>
      <c r="AD171" s="927"/>
      <c r="AE171" s="927"/>
    </row>
    <row s="32338" customFormat="1" customHeight="1" ht="11.25">
      <c r="A172" s="1349"/>
      <c r="B172" s="2002"/>
      <c r="C172" s="2002"/>
      <c r="D172" s="712"/>
      <c r="K172" s="1523"/>
      <c r="L172" s="2002"/>
      <c r="M172" s="2002"/>
      <c r="N172" s="1523"/>
      <c r="O172" s="1523"/>
      <c r="P172" s="1523"/>
      <c r="Q172" s="1523"/>
      <c r="R172" s="2002"/>
      <c r="S172" s="1523"/>
      <c r="T172" s="1523"/>
      <c r="U172" s="905"/>
      <c r="V172" s="1523"/>
      <c r="W172" s="1523"/>
      <c r="X172" s="1523"/>
      <c r="Y172" s="1523"/>
      <c r="Z172" s="1523"/>
      <c r="AA172" s="1998"/>
      <c r="AB172" s="927"/>
      <c r="AC172" s="927"/>
      <c r="AD172" s="927"/>
      <c r="AE172" s="927"/>
    </row>
    <row s="32338" customFormat="1" customHeight="1" ht="11.25">
      <c r="A173" s="1349"/>
      <c r="B173" s="2002"/>
      <c r="C173" s="2002"/>
      <c r="D173" s="712"/>
      <c r="K173" s="1523"/>
      <c r="L173" s="2002"/>
      <c r="M173" s="2002"/>
      <c r="N173" s="1523"/>
      <c r="O173" s="1523"/>
      <c r="P173" s="1523"/>
      <c r="Q173" s="1523"/>
      <c r="R173" s="2002"/>
      <c r="S173" s="1523"/>
      <c r="T173" s="1523"/>
      <c r="U173" s="905"/>
      <c r="V173" s="1523"/>
      <c r="W173" s="1523"/>
      <c r="X173" s="1523"/>
      <c r="Y173" s="1523"/>
      <c r="Z173" s="1523"/>
      <c r="AA173" s="1998"/>
      <c r="AB173" s="927"/>
      <c r="AC173" s="927"/>
      <c r="AD173" s="927"/>
      <c r="AE173" s="927"/>
    </row>
    <row s="32338" customFormat="1" customHeight="1" ht="11.25">
      <c r="A174" s="1349"/>
      <c r="B174" s="2002"/>
      <c r="C174" s="2002"/>
      <c r="D174" s="712"/>
      <c r="K174" s="1523"/>
      <c r="L174" s="2002"/>
      <c r="M174" s="2002"/>
      <c r="N174" s="1523"/>
      <c r="O174" s="1523"/>
      <c r="P174" s="1523"/>
      <c r="Q174" s="1523"/>
      <c r="R174" s="2002"/>
      <c r="S174" s="1523"/>
      <c r="T174" s="1523"/>
      <c r="U174" s="905"/>
      <c r="V174" s="1523"/>
      <c r="W174" s="1523"/>
      <c r="X174" s="1523"/>
      <c r="Y174" s="1523"/>
      <c r="Z174" s="1523"/>
      <c r="AA174" s="1998"/>
      <c r="AB174" s="927"/>
      <c r="AC174" s="927"/>
      <c r="AD174" s="927"/>
      <c r="AE174" s="927"/>
    </row>
    <row s="32338" customFormat="1" customHeight="1" ht="11.25">
      <c r="A175" s="1349"/>
      <c r="B175" s="2002"/>
      <c r="C175" s="2002"/>
      <c r="D175" s="712"/>
      <c r="K175" s="1523"/>
      <c r="L175" s="2002"/>
      <c r="M175" s="2002"/>
      <c r="N175" s="1523"/>
      <c r="O175" s="1523"/>
      <c r="P175" s="1523"/>
      <c r="Q175" s="1523"/>
      <c r="R175" s="2002"/>
      <c r="S175" s="1523"/>
      <c r="T175" s="1523"/>
      <c r="U175" s="905"/>
      <c r="V175" s="1523"/>
      <c r="W175" s="1523"/>
      <c r="X175" s="1523"/>
      <c r="Y175" s="1523"/>
      <c r="Z175" s="1523"/>
      <c r="AA175" s="1998"/>
      <c r="AB175" s="927"/>
      <c r="AC175" s="927"/>
      <c r="AD175" s="927"/>
      <c r="AE175" s="927"/>
    </row>
    <row s="32338" customFormat="1" customHeight="1" ht="11.25">
      <c r="A176" s="1349"/>
      <c r="B176" s="2002"/>
      <c r="C176" s="2002"/>
      <c r="D176" s="712"/>
      <c r="K176" s="1523"/>
      <c r="L176" s="2002"/>
      <c r="M176" s="2002"/>
      <c r="N176" s="1523"/>
      <c r="O176" s="1523"/>
      <c r="P176" s="1523"/>
      <c r="Q176" s="1523"/>
      <c r="R176" s="2002"/>
      <c r="S176" s="1523"/>
      <c r="T176" s="1523"/>
      <c r="U176" s="905"/>
      <c r="V176" s="1523"/>
      <c r="W176" s="1523"/>
      <c r="X176" s="1523"/>
      <c r="Y176" s="1523"/>
      <c r="Z176" s="1523"/>
      <c r="AA176" s="1998"/>
      <c r="AB176" s="927"/>
      <c r="AC176" s="927"/>
      <c r="AD176" s="927"/>
      <c r="AE176" s="927"/>
    </row>
    <row s="32338" customFormat="1" customHeight="1" ht="11.25">
      <c r="A177" s="1349"/>
      <c r="B177" s="2002"/>
      <c r="C177" s="2002"/>
      <c r="D177" s="712"/>
      <c r="K177" s="1523"/>
      <c r="L177" s="2002"/>
      <c r="M177" s="2002"/>
      <c r="N177" s="1523"/>
      <c r="O177" s="1523"/>
      <c r="P177" s="1523"/>
      <c r="Q177" s="1523"/>
      <c r="R177" s="2002"/>
      <c r="S177" s="1523"/>
      <c r="T177" s="1523"/>
      <c r="U177" s="905"/>
      <c r="V177" s="1523"/>
      <c r="W177" s="1523"/>
      <c r="X177" s="1523"/>
      <c r="Y177" s="1523"/>
      <c r="Z177" s="1523"/>
      <c r="AA177" s="1998"/>
      <c r="AB177" s="927"/>
      <c r="AC177" s="927"/>
      <c r="AD177" s="927"/>
      <c r="AE177" s="927"/>
    </row>
    <row s="32338" customFormat="1" customHeight="1" ht="11.25">
      <c r="A178" s="1349"/>
      <c r="B178" s="2002"/>
      <c r="C178" s="2002"/>
      <c r="D178" s="712"/>
      <c r="K178" s="1523"/>
      <c r="L178" s="2002"/>
      <c r="M178" s="2002"/>
      <c r="N178" s="1523"/>
      <c r="O178" s="1523"/>
      <c r="P178" s="1523"/>
      <c r="Q178" s="1523"/>
      <c r="R178" s="2002"/>
      <c r="S178" s="1523"/>
      <c r="T178" s="1523"/>
      <c r="U178" s="905"/>
      <c r="V178" s="1523"/>
      <c r="W178" s="1523"/>
      <c r="X178" s="1523"/>
      <c r="Y178" s="1523"/>
      <c r="Z178" s="1523"/>
      <c r="AA178" s="1998"/>
      <c r="AB178" s="927"/>
      <c r="AC178" s="927"/>
      <c r="AD178" s="927"/>
      <c r="AE178" s="927"/>
    </row>
    <row s="32338" customFormat="1" customHeight="1" ht="11.25">
      <c r="A179" s="1349"/>
      <c r="B179" s="2002"/>
      <c r="C179" s="2002"/>
      <c r="D179" s="712"/>
      <c r="K179" s="1523"/>
      <c r="L179" s="2002"/>
      <c r="M179" s="2002"/>
      <c r="N179" s="1523"/>
      <c r="O179" s="1523"/>
      <c r="P179" s="1523"/>
      <c r="Q179" s="1523"/>
      <c r="R179" s="2002"/>
      <c r="S179" s="1523"/>
      <c r="T179" s="1523"/>
      <c r="U179" s="905"/>
      <c r="V179" s="1523"/>
      <c r="W179" s="1523"/>
      <c r="X179" s="1523"/>
      <c r="Y179" s="1523"/>
      <c r="Z179" s="1523"/>
      <c r="AA179" s="1998"/>
      <c r="AB179" s="927"/>
      <c r="AC179" s="927"/>
      <c r="AD179" s="927"/>
      <c r="AE179" s="927"/>
    </row>
    <row s="32338" customFormat="1" customHeight="1" ht="11.25">
      <c r="A180" s="1349"/>
      <c r="B180" s="2002"/>
      <c r="C180" s="2002"/>
      <c r="D180" s="712"/>
      <c r="K180" s="1523"/>
      <c r="L180" s="2002"/>
      <c r="M180" s="2002"/>
      <c r="N180" s="1523"/>
      <c r="O180" s="1523"/>
      <c r="P180" s="1523"/>
      <c r="Q180" s="1523"/>
      <c r="R180" s="2002"/>
      <c r="S180" s="1523"/>
      <c r="T180" s="1523"/>
      <c r="U180" s="905"/>
      <c r="V180" s="1523"/>
      <c r="W180" s="1523"/>
      <c r="X180" s="1523"/>
      <c r="Y180" s="1523"/>
      <c r="Z180" s="1523"/>
      <c r="AA180" s="1998"/>
      <c r="AB180" s="927"/>
      <c r="AC180" s="927"/>
      <c r="AD180" s="927"/>
      <c r="AE180" s="927"/>
    </row>
    <row s="32338" customFormat="1" customHeight="1" ht="11.25">
      <c r="A181" s="1349"/>
      <c r="B181" s="2002"/>
      <c r="C181" s="2002"/>
      <c r="D181" s="712"/>
      <c r="K181" s="1523"/>
      <c r="L181" s="2002"/>
      <c r="M181" s="2002"/>
      <c r="N181" s="1523"/>
      <c r="O181" s="1523"/>
      <c r="P181" s="1523"/>
      <c r="Q181" s="1523"/>
      <c r="R181" s="2002"/>
      <c r="S181" s="1523"/>
      <c r="T181" s="1523"/>
      <c r="U181" s="905"/>
      <c r="V181" s="1523"/>
      <c r="W181" s="1523"/>
      <c r="X181" s="1523"/>
      <c r="Y181" s="1523"/>
      <c r="Z181" s="1523"/>
      <c r="AA181" s="1998"/>
      <c r="AB181" s="927"/>
      <c r="AC181" s="927"/>
      <c r="AD181" s="927"/>
      <c r="AE181" s="927"/>
    </row>
    <row s="32338" customFormat="1" customHeight="1" ht="11.25">
      <c r="A182" s="1349"/>
      <c r="B182" s="2002"/>
      <c r="C182" s="2002"/>
      <c r="D182" s="712"/>
      <c r="K182" s="1523"/>
      <c r="L182" s="2002"/>
      <c r="M182" s="2002"/>
      <c r="N182" s="1523"/>
      <c r="O182" s="1523"/>
      <c r="P182" s="1523"/>
      <c r="Q182" s="1523"/>
      <c r="R182" s="2002"/>
      <c r="S182" s="1523"/>
      <c r="T182" s="1523"/>
      <c r="U182" s="905"/>
      <c r="V182" s="1523"/>
      <c r="W182" s="1523"/>
      <c r="X182" s="1523"/>
      <c r="Y182" s="1523"/>
      <c r="Z182" s="1523"/>
      <c r="AA182" s="1998"/>
      <c r="AB182" s="927"/>
      <c r="AC182" s="927"/>
      <c r="AD182" s="927"/>
      <c r="AE182" s="927"/>
    </row>
    <row s="32338" customFormat="1" customHeight="1" ht="11.25">
      <c r="A183" s="1349"/>
      <c r="B183" s="2002"/>
      <c r="C183" s="2002"/>
      <c r="D183" s="712"/>
      <c r="K183" s="1523"/>
      <c r="L183" s="2002"/>
      <c r="M183" s="2002"/>
      <c r="N183" s="1523"/>
      <c r="O183" s="1523"/>
      <c r="P183" s="1523"/>
      <c r="Q183" s="1523"/>
      <c r="R183" s="2002"/>
      <c r="S183" s="1523"/>
      <c r="T183" s="1523"/>
      <c r="U183" s="905"/>
      <c r="V183" s="1523"/>
      <c r="W183" s="1523"/>
      <c r="X183" s="1523"/>
      <c r="Y183" s="1523"/>
      <c r="Z183" s="1523"/>
      <c r="AA183" s="1998"/>
      <c r="AB183" s="927"/>
      <c r="AC183" s="927"/>
      <c r="AD183" s="927"/>
      <c r="AE183" s="927"/>
    </row>
    <row s="32338" customFormat="1" customHeight="1" ht="11.25">
      <c r="A184" s="1349"/>
      <c r="B184" s="2002"/>
      <c r="C184" s="2002"/>
      <c r="D184" s="712"/>
      <c r="K184" s="1523"/>
      <c r="L184" s="2002"/>
      <c r="M184" s="2002"/>
      <c r="N184" s="1523"/>
      <c r="O184" s="1523"/>
      <c r="P184" s="1523"/>
      <c r="Q184" s="1523"/>
      <c r="R184" s="2002"/>
      <c r="S184" s="1523"/>
      <c r="T184" s="1523"/>
      <c r="U184" s="905"/>
      <c r="V184" s="1523"/>
      <c r="W184" s="1523"/>
      <c r="X184" s="1523"/>
      <c r="Y184" s="1523"/>
      <c r="Z184" s="1523"/>
      <c r="AA184" s="1998"/>
      <c r="AB184" s="927"/>
      <c r="AC184" s="927"/>
      <c r="AD184" s="927"/>
      <c r="AE184" s="927"/>
    </row>
    <row s="32338" customFormat="1" customHeight="1" ht="11.25">
      <c r="A185" s="1349"/>
      <c r="B185" s="2002"/>
      <c r="C185" s="2002"/>
      <c r="D185" s="712"/>
      <c r="K185" s="1523"/>
      <c r="L185" s="2002"/>
      <c r="M185" s="2002"/>
      <c r="N185" s="1523"/>
      <c r="O185" s="1523"/>
      <c r="P185" s="1523"/>
      <c r="Q185" s="1523"/>
      <c r="R185" s="2002"/>
      <c r="S185" s="1523"/>
      <c r="T185" s="1523"/>
      <c r="U185" s="905"/>
      <c r="V185" s="1523"/>
      <c r="W185" s="1523"/>
      <c r="X185" s="1523"/>
      <c r="Y185" s="1523"/>
      <c r="Z185" s="1523"/>
      <c r="AA185" s="1998"/>
      <c r="AB185" s="927"/>
      <c r="AC185" s="927"/>
      <c r="AD185" s="927"/>
      <c r="AE185" s="927"/>
    </row>
    <row s="32338" customFormat="1" customHeight="1" ht="11.25">
      <c r="A186" s="1349"/>
      <c r="B186" s="2002"/>
      <c r="C186" s="2002"/>
      <c r="D186" s="712"/>
      <c r="K186" s="1523"/>
      <c r="L186" s="2002"/>
      <c r="M186" s="2002"/>
      <c r="N186" s="1523"/>
      <c r="O186" s="1523"/>
      <c r="P186" s="1523"/>
      <c r="Q186" s="1523"/>
      <c r="R186" s="2002"/>
      <c r="S186" s="1523"/>
      <c r="T186" s="1523"/>
      <c r="U186" s="905"/>
      <c r="V186" s="1523"/>
      <c r="W186" s="1523"/>
      <c r="X186" s="1523"/>
      <c r="Y186" s="1523"/>
      <c r="Z186" s="1523"/>
      <c r="AA186" s="1998"/>
      <c r="AB186" s="927"/>
      <c r="AC186" s="927"/>
      <c r="AD186" s="927"/>
      <c r="AE186" s="927"/>
    </row>
    <row s="32338" customFormat="1" customHeight="1" ht="11.25">
      <c r="A187" s="1349"/>
      <c r="B187" s="2002"/>
      <c r="C187" s="2002"/>
      <c r="D187" s="712"/>
      <c r="K187" s="1523"/>
      <c r="L187" s="2002"/>
      <c r="M187" s="2002"/>
      <c r="N187" s="1523"/>
      <c r="O187" s="1523"/>
      <c r="P187" s="1523"/>
      <c r="Q187" s="1523"/>
      <c r="R187" s="2002"/>
      <c r="S187" s="1523"/>
      <c r="T187" s="1523"/>
      <c r="U187" s="905"/>
      <c r="V187" s="1523"/>
      <c r="W187" s="1523"/>
      <c r="X187" s="1523"/>
      <c r="Y187" s="1523"/>
      <c r="Z187" s="1523"/>
      <c r="AA187" s="1998"/>
      <c r="AB187" s="927"/>
      <c r="AC187" s="927"/>
      <c r="AD187" s="927"/>
      <c r="AE187" s="927"/>
    </row>
    <row s="32338" customFormat="1" customHeight="1" ht="11.25">
      <c r="A188" s="1349"/>
      <c r="B188" s="2002"/>
      <c r="C188" s="2002"/>
      <c r="D188" s="712"/>
      <c r="K188" s="1523"/>
      <c r="L188" s="2002"/>
      <c r="M188" s="2002"/>
      <c r="N188" s="1523"/>
      <c r="O188" s="1523"/>
      <c r="P188" s="1523"/>
      <c r="Q188" s="1523"/>
      <c r="R188" s="2002"/>
      <c r="S188" s="1523"/>
      <c r="T188" s="1523"/>
      <c r="U188" s="905"/>
      <c r="V188" s="1523"/>
      <c r="W188" s="1523"/>
      <c r="X188" s="1523"/>
      <c r="Y188" s="1523"/>
      <c r="Z188" s="1523"/>
      <c r="AA188" s="1998"/>
      <c r="AB188" s="927"/>
      <c r="AC188" s="927"/>
      <c r="AD188" s="927"/>
      <c r="AE188" s="927"/>
    </row>
    <row s="32338" customFormat="1" customHeight="1" ht="11.25">
      <c r="A189" s="1349"/>
      <c r="B189" s="2002"/>
      <c r="C189" s="2002"/>
      <c r="D189" s="712"/>
      <c r="K189" s="1523"/>
      <c r="L189" s="2002"/>
      <c r="M189" s="2002"/>
      <c r="N189" s="1523"/>
      <c r="O189" s="1523"/>
      <c r="P189" s="1523"/>
      <c r="Q189" s="1523"/>
      <c r="R189" s="2002"/>
      <c r="S189" s="1523"/>
      <c r="T189" s="1523"/>
      <c r="U189" s="905"/>
      <c r="V189" s="1523"/>
      <c r="W189" s="1523"/>
      <c r="X189" s="1523"/>
      <c r="Y189" s="1523"/>
      <c r="Z189" s="1523"/>
      <c r="AA189" s="1998"/>
      <c r="AB189" s="927"/>
      <c r="AC189" s="927"/>
      <c r="AD189" s="927"/>
      <c r="AE189" s="927"/>
    </row>
    <row s="32338" customFormat="1" customHeight="1" ht="11.25">
      <c r="A190" s="1349"/>
      <c r="B190" s="2002"/>
      <c r="C190" s="2002"/>
      <c r="D190" s="712"/>
      <c r="K190" s="1523"/>
      <c r="L190" s="2002"/>
      <c r="M190" s="2002"/>
      <c r="N190" s="1523"/>
      <c r="O190" s="1523"/>
      <c r="P190" s="1523"/>
      <c r="Q190" s="1523"/>
      <c r="R190" s="2002"/>
      <c r="S190" s="1523"/>
      <c r="T190" s="1523"/>
      <c r="U190" s="905"/>
      <c r="V190" s="1523"/>
      <c r="W190" s="1523"/>
      <c r="X190" s="1523"/>
      <c r="Y190" s="1523"/>
      <c r="Z190" s="1523"/>
      <c r="AA190" s="1998"/>
      <c r="AB190" s="927"/>
      <c r="AC190" s="927"/>
      <c r="AD190" s="927"/>
      <c r="AE190" s="927"/>
    </row>
    <row s="32338" customFormat="1" customHeight="1" ht="11.25">
      <c r="A191" s="1349"/>
      <c r="B191" s="2002"/>
      <c r="C191" s="2002"/>
      <c r="D191" s="712"/>
      <c r="K191" s="1523"/>
      <c r="L191" s="2002"/>
      <c r="M191" s="2002"/>
      <c r="N191" s="1523"/>
      <c r="O191" s="1523"/>
      <c r="P191" s="1523"/>
      <c r="Q191" s="1523"/>
      <c r="R191" s="2002"/>
      <c r="S191" s="1523"/>
      <c r="T191" s="1523"/>
      <c r="U191" s="905"/>
      <c r="V191" s="1523"/>
      <c r="W191" s="1523"/>
      <c r="X191" s="1523"/>
      <c r="Y191" s="1523"/>
      <c r="Z191" s="1523"/>
      <c r="AA191" s="1998"/>
      <c r="AB191" s="927"/>
      <c r="AC191" s="927"/>
      <c r="AD191" s="927"/>
      <c r="AE191" s="927"/>
    </row>
    <row s="32338" customFormat="1" customHeight="1" ht="11.25">
      <c r="A192" s="1349"/>
      <c r="B192" s="2002"/>
      <c r="C192" s="2002"/>
      <c r="D192" s="712"/>
      <c r="K192" s="1523"/>
      <c r="L192" s="2002"/>
      <c r="M192" s="2002"/>
      <c r="N192" s="1523"/>
      <c r="O192" s="1523"/>
      <c r="P192" s="1523"/>
      <c r="Q192" s="1523"/>
      <c r="R192" s="2002"/>
      <c r="S192" s="1523"/>
      <c r="T192" s="1523"/>
      <c r="U192" s="905"/>
      <c r="V192" s="1523"/>
      <c r="W192" s="1523"/>
      <c r="X192" s="1523"/>
      <c r="Y192" s="1523"/>
      <c r="Z192" s="1523"/>
      <c r="AA192" s="1998"/>
      <c r="AB192" s="927"/>
      <c r="AC192" s="927"/>
      <c r="AD192" s="927"/>
      <c r="AE192" s="927"/>
    </row>
    <row s="32338" customFormat="1" customHeight="1" ht="11.25">
      <c r="A193" s="1349"/>
      <c r="B193" s="2002"/>
      <c r="C193" s="2002"/>
      <c r="D193" s="712"/>
      <c r="K193" s="1523"/>
      <c r="L193" s="2002"/>
      <c r="M193" s="2002"/>
      <c r="N193" s="1523"/>
      <c r="O193" s="1523"/>
      <c r="P193" s="1523"/>
      <c r="Q193" s="1523"/>
      <c r="R193" s="2002"/>
      <c r="S193" s="1523"/>
      <c r="T193" s="1523"/>
      <c r="U193" s="905"/>
      <c r="V193" s="1523"/>
      <c r="W193" s="1523"/>
      <c r="X193" s="1523"/>
      <c r="Y193" s="1523"/>
      <c r="Z193" s="1523"/>
      <c r="AA193" s="1998"/>
      <c r="AB193" s="927"/>
      <c r="AC193" s="927"/>
      <c r="AD193" s="927"/>
      <c r="AE193" s="927"/>
    </row>
    <row s="32338" customFormat="1" customHeight="1" ht="11.25">
      <c r="A194" s="1349"/>
      <c r="B194" s="2002"/>
      <c r="C194" s="2002"/>
      <c r="D194" s="712"/>
      <c r="K194" s="1523"/>
      <c r="L194" s="2002"/>
      <c r="M194" s="2002"/>
      <c r="N194" s="1523"/>
      <c r="O194" s="1523"/>
      <c r="P194" s="1523"/>
      <c r="Q194" s="1523"/>
      <c r="R194" s="2002"/>
      <c r="S194" s="1523"/>
      <c r="T194" s="1523"/>
      <c r="U194" s="905"/>
      <c r="V194" s="1523"/>
      <c r="W194" s="1523"/>
      <c r="X194" s="1523"/>
      <c r="Y194" s="1523"/>
      <c r="Z194" s="1523"/>
      <c r="AA194" s="1998"/>
      <c r="AB194" s="927"/>
      <c r="AC194" s="927"/>
      <c r="AD194" s="927"/>
      <c r="AE194" s="927"/>
    </row>
    <row s="32338" customFormat="1" customHeight="1" ht="11.25">
      <c r="A195" s="1349"/>
      <c r="B195" s="2002"/>
      <c r="C195" s="2002"/>
      <c r="D195" s="712"/>
      <c r="K195" s="1523"/>
      <c r="L195" s="2002"/>
      <c r="M195" s="2002"/>
      <c r="N195" s="1523"/>
      <c r="O195" s="1523"/>
      <c r="P195" s="1523"/>
      <c r="Q195" s="1523"/>
      <c r="R195" s="2002"/>
      <c r="S195" s="1523"/>
      <c r="T195" s="1523"/>
      <c r="U195" s="905"/>
      <c r="V195" s="1523"/>
      <c r="W195" s="1523"/>
      <c r="X195" s="1523"/>
      <c r="Y195" s="1523"/>
      <c r="Z195" s="1523"/>
      <c r="AA195" s="1998"/>
      <c r="AB195" s="927"/>
      <c r="AC195" s="927"/>
      <c r="AD195" s="927"/>
      <c r="AE195" s="927"/>
    </row>
    <row s="32338" customFormat="1" customHeight="1" ht="11.25">
      <c r="A196" s="1349"/>
      <c r="B196" s="2002"/>
      <c r="C196" s="2002"/>
      <c r="D196" s="712"/>
      <c r="K196" s="1523"/>
      <c r="L196" s="2002"/>
      <c r="M196" s="2002"/>
      <c r="N196" s="1523"/>
      <c r="O196" s="1523"/>
      <c r="P196" s="1523"/>
      <c r="Q196" s="1523"/>
      <c r="R196" s="2002"/>
      <c r="S196" s="1523"/>
      <c r="T196" s="1523"/>
      <c r="U196" s="905"/>
      <c r="V196" s="1523"/>
      <c r="W196" s="1523"/>
      <c r="X196" s="1523"/>
      <c r="Y196" s="1523"/>
      <c r="Z196" s="1523"/>
      <c r="AA196" s="1998"/>
      <c r="AB196" s="927"/>
      <c r="AC196" s="927"/>
      <c r="AD196" s="927"/>
      <c r="AE196" s="927"/>
    </row>
    <row s="32338" customFormat="1" customHeight="1" ht="11.25">
      <c r="A197" s="1349"/>
      <c r="B197" s="2002"/>
      <c r="C197" s="2002"/>
      <c r="D197" s="712"/>
      <c r="K197" s="1523"/>
      <c r="L197" s="2002"/>
      <c r="M197" s="2002"/>
      <c r="N197" s="1523"/>
      <c r="O197" s="1523"/>
      <c r="P197" s="1523"/>
      <c r="Q197" s="1523"/>
      <c r="R197" s="2002"/>
      <c r="S197" s="1523"/>
      <c r="T197" s="1523"/>
      <c r="U197" s="905"/>
      <c r="V197" s="1523"/>
      <c r="W197" s="1523"/>
      <c r="X197" s="1523"/>
      <c r="Y197" s="1523"/>
      <c r="Z197" s="1523"/>
      <c r="AA197" s="1998"/>
      <c r="AB197" s="927"/>
      <c r="AC197" s="927"/>
      <c r="AD197" s="927"/>
      <c r="AE197" s="927"/>
    </row>
    <row s="32338" customFormat="1" customHeight="1" ht="11.25">
      <c r="A198" s="1349"/>
      <c r="B198" s="2002"/>
      <c r="C198" s="2002"/>
      <c r="D198" s="712"/>
      <c r="K198" s="1523"/>
      <c r="L198" s="2002"/>
      <c r="M198" s="2002"/>
      <c r="N198" s="1523"/>
      <c r="O198" s="1523"/>
      <c r="P198" s="1523"/>
      <c r="Q198" s="1523"/>
      <c r="R198" s="2002"/>
      <c r="S198" s="1523"/>
      <c r="T198" s="1523"/>
      <c r="U198" s="905"/>
      <c r="V198" s="1523"/>
      <c r="W198" s="1523"/>
      <c r="X198" s="1523"/>
      <c r="Y198" s="1523"/>
      <c r="Z198" s="1523"/>
      <c r="AA198" s="1998"/>
      <c r="AB198" s="927"/>
      <c r="AC198" s="927"/>
      <c r="AD198" s="927"/>
      <c r="AE198" s="927"/>
    </row>
    <row s="32338" customFormat="1" customHeight="1" ht="11.25">
      <c r="A199" s="1349"/>
      <c r="B199" s="2002"/>
      <c r="C199" s="2002"/>
      <c r="D199" s="712"/>
      <c r="K199" s="1523"/>
      <c r="L199" s="2002"/>
      <c r="M199" s="2002"/>
      <c r="N199" s="1523"/>
      <c r="O199" s="1523"/>
      <c r="P199" s="1523"/>
      <c r="Q199" s="1523"/>
      <c r="R199" s="2002"/>
      <c r="S199" s="1523"/>
      <c r="T199" s="1523"/>
      <c r="U199" s="905"/>
      <c r="V199" s="1523"/>
      <c r="W199" s="1523"/>
      <c r="X199" s="1523"/>
      <c r="Y199" s="1523"/>
      <c r="Z199" s="1523"/>
      <c r="AA199" s="1998"/>
      <c r="AB199" s="927"/>
      <c r="AC199" s="927"/>
      <c r="AD199" s="927"/>
      <c r="AE199" s="927"/>
    </row>
    <row s="32338" customFormat="1" customHeight="1" ht="11.25">
      <c r="A200" s="1349"/>
      <c r="B200" s="2002"/>
      <c r="C200" s="2002"/>
      <c r="D200" s="712"/>
      <c r="K200" s="1523"/>
      <c r="L200" s="2002"/>
      <c r="M200" s="2002"/>
      <c r="N200" s="1523"/>
      <c r="O200" s="1523"/>
      <c r="P200" s="1523"/>
      <c r="Q200" s="1523"/>
      <c r="R200" s="2002"/>
      <c r="S200" s="1523"/>
      <c r="T200" s="1523"/>
      <c r="U200" s="905"/>
      <c r="V200" s="1523"/>
      <c r="W200" s="1523"/>
      <c r="X200" s="1523"/>
      <c r="Y200" s="1523"/>
      <c r="Z200" s="1523"/>
      <c r="AA200" s="1998"/>
      <c r="AB200" s="927"/>
      <c r="AC200" s="927"/>
      <c r="AD200" s="927"/>
      <c r="AE200" s="927"/>
    </row>
    <row s="32338" customFormat="1" customHeight="1" ht="11.25">
      <c r="A201" s="1349"/>
      <c r="B201" s="2002"/>
      <c r="C201" s="2002"/>
      <c r="D201" s="712"/>
      <c r="K201" s="1523"/>
      <c r="L201" s="2002"/>
      <c r="M201" s="2002"/>
      <c r="N201" s="1523"/>
      <c r="O201" s="1523"/>
      <c r="P201" s="1523"/>
      <c r="Q201" s="1523"/>
      <c r="R201" s="2002"/>
      <c r="S201" s="1523"/>
      <c r="T201" s="1523"/>
      <c r="U201" s="905"/>
      <c r="V201" s="1523"/>
      <c r="W201" s="1523"/>
      <c r="X201" s="1523"/>
      <c r="Y201" s="1523"/>
      <c r="Z201" s="1523"/>
      <c r="AA201" s="1998"/>
      <c r="AB201" s="927"/>
      <c r="AC201" s="927"/>
      <c r="AD201" s="927"/>
      <c r="AE201" s="927"/>
    </row>
    <row s="32338" customFormat="1" customHeight="1" ht="11.25">
      <c r="A202" s="1349"/>
      <c r="B202" s="2002"/>
      <c r="C202" s="2002"/>
      <c r="D202" s="712"/>
      <c r="K202" s="1523"/>
      <c r="L202" s="2002"/>
      <c r="M202" s="2002"/>
      <c r="N202" s="1523"/>
      <c r="O202" s="1523"/>
      <c r="P202" s="1523"/>
      <c r="Q202" s="1523"/>
      <c r="R202" s="2002"/>
      <c r="S202" s="1523"/>
      <c r="T202" s="1523"/>
      <c r="U202" s="905"/>
      <c r="V202" s="1523"/>
      <c r="W202" s="1523"/>
      <c r="X202" s="1523"/>
      <c r="Y202" s="1523"/>
      <c r="Z202" s="1523"/>
      <c r="AA202" s="1998"/>
      <c r="AB202" s="927"/>
      <c r="AC202" s="927"/>
      <c r="AD202" s="927"/>
      <c r="AE202" s="927"/>
    </row>
    <row s="32338" customFormat="1" customHeight="1" ht="11.25">
      <c r="A203" s="1349"/>
      <c r="B203" s="2002"/>
      <c r="C203" s="2002"/>
      <c r="D203" s="712"/>
      <c r="K203" s="1523"/>
      <c r="L203" s="2002"/>
      <c r="M203" s="2002"/>
      <c r="N203" s="1523"/>
      <c r="O203" s="1523"/>
      <c r="P203" s="1523"/>
      <c r="Q203" s="1523"/>
      <c r="R203" s="2002"/>
      <c r="S203" s="1523"/>
      <c r="T203" s="1523"/>
      <c r="U203" s="905"/>
      <c r="V203" s="1523"/>
      <c r="W203" s="1523"/>
      <c r="X203" s="1523"/>
      <c r="Y203" s="1523"/>
      <c r="Z203" s="1523"/>
      <c r="AA203" s="1998"/>
      <c r="AB203" s="927"/>
      <c r="AC203" s="927"/>
      <c r="AD203" s="927"/>
      <c r="AE203" s="927"/>
    </row>
    <row s="32338" customFormat="1" customHeight="1" ht="11.25">
      <c r="A204" s="1349"/>
      <c r="B204" s="2002"/>
      <c r="C204" s="2002"/>
      <c r="D204" s="712"/>
      <c r="K204" s="1523"/>
      <c r="L204" s="2002"/>
      <c r="M204" s="2002"/>
      <c r="N204" s="1523"/>
      <c r="O204" s="1523"/>
      <c r="P204" s="1523"/>
      <c r="Q204" s="1523"/>
      <c r="R204" s="2002"/>
      <c r="S204" s="1523"/>
      <c r="T204" s="1523"/>
      <c r="U204" s="905"/>
      <c r="V204" s="1523"/>
      <c r="W204" s="1523"/>
      <c r="X204" s="1523"/>
      <c r="Y204" s="1523"/>
      <c r="Z204" s="1523"/>
      <c r="AA204" s="1998"/>
      <c r="AB204" s="927"/>
      <c r="AC204" s="927"/>
      <c r="AD204" s="927"/>
      <c r="AE204" s="927"/>
    </row>
    <row r="208" customHeight="1" ht="11.25">
      <c r="A208" s="1352"/>
      <c r="B208" s="1997"/>
      <c r="D208" s="1997"/>
      <c r="K208" s="1997"/>
      <c r="N208" s="1997"/>
      <c r="O208" s="1997"/>
      <c r="P208" s="1997"/>
      <c r="Q208" s="1997"/>
      <c r="S208" s="1997"/>
      <c r="T208" s="1997"/>
      <c r="U208" s="1997"/>
      <c r="V208" s="1997"/>
      <c r="W208" s="1997"/>
      <c r="X208" s="1997"/>
      <c r="Y208" s="1997"/>
      <c r="Z208" s="1997"/>
      <c r="AA208" s="1997"/>
      <c r="AB208" s="1997"/>
      <c r="AC208" s="1997"/>
      <c r="AD208" s="1997"/>
      <c r="AE208" s="1997"/>
    </row>
    <row customHeight="1" ht="11.25">
      <c r="A209" s="1352"/>
      <c r="B209" s="1997"/>
      <c r="D209" s="1997"/>
      <c r="K209" s="1997"/>
      <c r="N209" s="1997"/>
      <c r="O209" s="1997"/>
      <c r="P209" s="1997"/>
      <c r="Q209" s="1997"/>
      <c r="S209" s="1997"/>
      <c r="T209" s="1997"/>
      <c r="U209" s="1997"/>
      <c r="V209" s="1997"/>
      <c r="W209" s="1997"/>
      <c r="X209" s="1997"/>
      <c r="Y209" s="1997"/>
      <c r="Z209" s="1997"/>
      <c r="AA209" s="1997"/>
      <c r="AB209" s="1997"/>
      <c r="AC209" s="1997"/>
      <c r="AD209" s="1997"/>
      <c r="AE209" s="1997"/>
    </row>
    <row customHeight="1" ht="11.25">
      <c r="A210" s="1352"/>
      <c r="B210" s="1997"/>
      <c r="D210" s="1997"/>
      <c r="K210" s="1997"/>
      <c r="N210" s="1997"/>
      <c r="O210" s="1997"/>
      <c r="P210" s="1997"/>
      <c r="Q210" s="1997"/>
      <c r="S210" s="1997"/>
      <c r="T210" s="1997"/>
      <c r="U210" s="1997"/>
      <c r="V210" s="1997"/>
      <c r="W210" s="1997"/>
      <c r="X210" s="1997"/>
      <c r="Y210" s="1997"/>
      <c r="Z210" s="1997"/>
      <c r="AA210" s="1997"/>
      <c r="AB210" s="1997"/>
      <c r="AC210" s="1997"/>
      <c r="AD210" s="1997"/>
      <c r="AE210" s="1997"/>
    </row>
    <row customHeight="1" ht="11.25">
      <c r="A211" s="1352"/>
      <c r="B211" s="1997"/>
      <c r="D211" s="1997"/>
      <c r="K211" s="1997"/>
      <c r="N211" s="1997"/>
      <c r="O211" s="1997"/>
      <c r="P211" s="1997"/>
      <c r="Q211" s="1997"/>
      <c r="S211" s="1997"/>
      <c r="T211" s="1997"/>
      <c r="U211" s="1997"/>
      <c r="V211" s="1997"/>
      <c r="W211" s="1997"/>
      <c r="X211" s="1997"/>
      <c r="Y211" s="1997"/>
      <c r="Z211" s="1997"/>
      <c r="AA211" s="1997"/>
      <c r="AB211" s="1997"/>
      <c r="AC211" s="1997"/>
      <c r="AD211" s="1997"/>
      <c r="AE211" s="1997"/>
    </row>
    <row customHeight="1" ht="11.25">
      <c r="A212" s="1352"/>
      <c r="B212" s="1997"/>
      <c r="D212" s="1997"/>
      <c r="K212" s="1997"/>
      <c r="N212" s="1997"/>
      <c r="O212" s="1997"/>
      <c r="P212" s="1997"/>
      <c r="Q212" s="1997"/>
      <c r="S212" s="1997"/>
      <c r="T212" s="1997"/>
      <c r="U212" s="1997"/>
      <c r="V212" s="1997"/>
      <c r="W212" s="1997"/>
      <c r="X212" s="1997"/>
      <c r="Y212" s="1997"/>
      <c r="Z212" s="1997"/>
      <c r="AA212" s="1997"/>
      <c r="AB212" s="1997"/>
      <c r="AC212" s="1997"/>
      <c r="AD212" s="1997"/>
      <c r="AE212" s="1997"/>
    </row>
    <row customHeight="1" ht="11.25">
      <c r="A213" s="1352"/>
      <c r="B213" s="1997"/>
      <c r="D213" s="1997"/>
      <c r="K213" s="1997"/>
      <c r="N213" s="1997"/>
      <c r="O213" s="1997"/>
      <c r="P213" s="1997"/>
      <c r="Q213" s="1997"/>
      <c r="S213" s="1997"/>
      <c r="T213" s="1997"/>
      <c r="U213" s="1997"/>
      <c r="V213" s="1997"/>
      <c r="W213" s="1997"/>
      <c r="X213" s="1997"/>
      <c r="Y213" s="1997"/>
      <c r="Z213" s="1997"/>
      <c r="AA213" s="1997"/>
      <c r="AB213" s="1997"/>
      <c r="AC213" s="1997"/>
      <c r="AD213" s="1997"/>
      <c r="AE213" s="1997"/>
    </row>
    <row customHeight="1" ht="11.25">
      <c r="A214" s="1352"/>
      <c r="B214" s="1997"/>
      <c r="D214" s="1997"/>
      <c r="K214" s="1997"/>
      <c r="N214" s="1997"/>
      <c r="O214" s="1997"/>
      <c r="P214" s="1997"/>
      <c r="Q214" s="1997"/>
      <c r="S214" s="1997"/>
      <c r="T214" s="1997"/>
      <c r="U214" s="1997"/>
      <c r="V214" s="1997"/>
      <c r="W214" s="1997"/>
      <c r="X214" s="1997"/>
      <c r="Y214" s="1997"/>
      <c r="Z214" s="1997"/>
      <c r="AA214" s="1997"/>
      <c r="AB214" s="1997"/>
      <c r="AC214" s="1997"/>
      <c r="AD214" s="1997"/>
      <c r="AE214" s="1997"/>
    </row>
    <row customHeight="1" ht="11.25">
      <c r="A215" s="1352"/>
      <c r="B215" s="1997"/>
      <c r="D215" s="1997"/>
      <c r="K215" s="1997"/>
      <c r="N215" s="1997"/>
      <c r="O215" s="1997"/>
      <c r="P215" s="1997"/>
      <c r="Q215" s="1997"/>
      <c r="S215" s="1997"/>
      <c r="T215" s="1997"/>
      <c r="U215" s="1997"/>
      <c r="V215" s="1997"/>
      <c r="W215" s="1997"/>
      <c r="X215" s="1997"/>
      <c r="Y215" s="1997"/>
      <c r="Z215" s="1997"/>
      <c r="AA215" s="1997"/>
      <c r="AB215" s="1997"/>
      <c r="AC215" s="1997"/>
      <c r="AD215" s="1997"/>
      <c r="AE215" s="1997"/>
    </row>
    <row customHeight="1" ht="11.25">
      <c r="A216" s="1352"/>
      <c r="B216" s="1997"/>
      <c r="D216" s="1997"/>
      <c r="K216" s="1997"/>
      <c r="N216" s="1997"/>
      <c r="O216" s="1997"/>
      <c r="P216" s="1997"/>
      <c r="Q216" s="1997"/>
      <c r="S216" s="1997"/>
      <c r="T216" s="1997"/>
      <c r="U216" s="1997"/>
      <c r="V216" s="1997"/>
      <c r="W216" s="1997"/>
      <c r="X216" s="1997"/>
      <c r="Y216" s="1997"/>
      <c r="Z216" s="1997"/>
      <c r="AA216" s="1997"/>
      <c r="AB216" s="1997"/>
      <c r="AC216" s="1997"/>
      <c r="AD216" s="1997"/>
      <c r="AE216" s="1997"/>
    </row>
    <row customHeight="1" ht="11.25">
      <c r="A217" s="1352"/>
      <c r="B217" s="1997"/>
      <c r="D217" s="1997"/>
      <c r="K217" s="1997"/>
      <c r="N217" s="1997"/>
      <c r="O217" s="1997"/>
      <c r="P217" s="1997"/>
      <c r="Q217" s="1997"/>
      <c r="S217" s="1997"/>
      <c r="T217" s="1997"/>
      <c r="U217" s="1997"/>
      <c r="V217" s="1997"/>
      <c r="W217" s="1997"/>
      <c r="X217" s="1997"/>
      <c r="Y217" s="1997"/>
      <c r="Z217" s="1997"/>
      <c r="AA217" s="1997"/>
      <c r="AB217" s="1997"/>
      <c r="AC217" s="1997"/>
      <c r="AD217" s="1997"/>
      <c r="AE217" s="1997"/>
    </row>
    <row customHeight="1" ht="11.25">
      <c r="A218" s="1352"/>
      <c r="B218" s="1997"/>
      <c r="D218" s="1997"/>
      <c r="K218" s="1997"/>
      <c r="N218" s="1997"/>
      <c r="O218" s="1997"/>
      <c r="P218" s="1997"/>
      <c r="Q218" s="1997"/>
      <c r="S218" s="1997"/>
      <c r="T218" s="1997"/>
      <c r="U218" s="1997"/>
      <c r="V218" s="1997"/>
      <c r="W218" s="1997"/>
      <c r="X218" s="1997"/>
      <c r="Y218" s="1997"/>
      <c r="Z218" s="1997"/>
      <c r="AA218" s="1997"/>
      <c r="AB218" s="1997"/>
      <c r="AC218" s="1997"/>
      <c r="AD218" s="1997"/>
      <c r="AE218" s="1997"/>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9D84F-AA93-AB2E-6EAB-3C86741363FF}"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36868" width="10.7109375" hidden="1" customWidth="1"/>
    <col min="2" max="2" style="32217" width="16.8515625" hidden="1" customWidth="1"/>
    <col min="3" max="3" style="32341" width="5.57421875" hidden="1" customWidth="1"/>
    <col min="4" max="4" style="36869" width="3.7109375" customWidth="1"/>
    <col min="5" max="5" style="32343" width="7.7109375" customWidth="1"/>
    <col min="6" max="6" style="32343" width="54.57421875" customWidth="1"/>
    <col min="7" max="7" style="32343" width="10.421875" customWidth="1"/>
    <col min="8" max="8" style="32343" width="40.7109375" hidden="1" customWidth="1"/>
    <col min="9" max="9" style="32343" width="40.7109375" customWidth="1"/>
    <col min="10" max="10" style="32343" width="102.8515625" customWidth="1"/>
    <col min="11" max="11" style="32217" width="9.7109375" customWidth="1"/>
    <col min="12" max="12" style="32341" width="5.28125" customWidth="1"/>
    <col min="13" max="13" style="32341" width="3.7109375" customWidth="1"/>
    <col min="14" max="17" style="32217" width="3.7109375" customWidth="1"/>
    <col min="18" max="18" style="32341" width="10.57421875" customWidth="1"/>
    <col min="19" max="19" style="32217" width="34.7109375" customWidth="1"/>
    <col min="20" max="20" style="32217" width="9.421875" customWidth="1"/>
    <col min="21" max="21" style="36870" width="9.140625"/>
    <col min="22" max="26" style="32217" width="9.140625"/>
    <col min="27" max="31" style="36772" width="9.140625"/>
  </cols>
  <sheetData>
    <row s="32217" customFormat="1" customHeight="1" ht="11.25" hidden="1">
      <c r="A1" s="1349"/>
      <c r="C1" s="2002"/>
      <c r="D1" s="898"/>
      <c r="H1" s="1523">
        <v>4</v>
      </c>
      <c r="I1" s="1523">
        <v>4</v>
      </c>
      <c r="L1" s="2002"/>
      <c r="M1" s="2002"/>
      <c r="R1" s="2002"/>
    </row>
    <row s="32217" customFormat="1" customHeight="1" ht="22.5" hidden="1">
      <c r="A2" s="1349"/>
      <c r="C2" s="2002"/>
      <c r="D2" s="899"/>
      <c r="E2" s="2024"/>
      <c r="F2" s="901"/>
      <c r="G2" s="2023" t="s">
        <v>593</v>
      </c>
      <c r="H2" s="902"/>
      <c r="I2" s="902"/>
      <c r="J2" s="903" t="s">
        <v>596</v>
      </c>
      <c r="K2" s="904"/>
      <c r="L2" s="2002"/>
      <c r="M2" s="2002"/>
      <c r="R2" s="2002"/>
      <c r="U2" s="905"/>
      <c r="AA2" s="1998"/>
      <c r="AB2" s="1998"/>
      <c r="AC2" s="1998"/>
      <c r="AD2" s="1998"/>
      <c r="AE2" s="1998"/>
    </row>
    <row customHeight="1" ht="11.25" hidden="1"/>
    <row s="36772" customFormat="1" customHeight="1" ht="11.25" hidden="1">
      <c r="A4" s="1349"/>
      <c r="B4" s="1523"/>
      <c r="C4" s="2002"/>
      <c r="D4" s="723"/>
      <c r="J4" s="1998">
        <v>4</v>
      </c>
      <c r="K4" s="1523"/>
      <c r="L4" s="2002"/>
      <c r="M4" s="2002"/>
      <c r="N4" s="1523"/>
      <c r="O4" s="1523"/>
      <c r="P4" s="1523"/>
      <c r="Q4" s="1523"/>
      <c r="R4" s="2002"/>
      <c r="S4" s="1523"/>
      <c r="T4" s="1523"/>
      <c r="U4" s="905"/>
      <c r="V4" s="1523"/>
      <c r="W4" s="1523"/>
      <c r="X4" s="1523"/>
      <c r="Y4" s="1523"/>
      <c r="Z4" s="1523"/>
    </row>
    <row r="6" customHeight="1" ht="32.25">
      <c r="E6" s="2560" t="s">
        <v>730</v>
      </c>
      <c r="F6" s="2560"/>
      <c r="G6" s="2560"/>
      <c r="H6" s="2560"/>
      <c r="I6" s="2560"/>
      <c r="J6" s="917"/>
    </row>
    <row customHeight="1" ht="24">
      <c r="E7" s="2561" t="str">
        <f>IF(org=0,"Не определено",org)</f>
        <v>АО "Мурманэнергосбыт"</v>
      </c>
      <c r="F7" s="2561"/>
      <c r="G7" s="2561"/>
      <c r="H7" s="2561"/>
      <c r="I7" s="2561"/>
    </row>
    <row customHeight="1" ht="11.25">
      <c r="E8" s="1498"/>
      <c r="F8" s="1498"/>
      <c r="G8" s="1498"/>
      <c r="H8" s="1498"/>
      <c r="I8" s="1498"/>
    </row>
    <row s="32341" customFormat="1" customHeight="1" ht="0.75">
      <c r="A9" s="1530"/>
      <c r="D9" s="2008"/>
      <c r="H9" s="1250"/>
      <c r="I9" s="1250" t="s">
        <v>125</v>
      </c>
    </row>
    <row customHeight="1" ht="11.25">
      <c r="E10" s="1072"/>
      <c r="F10" s="2636" t="s">
        <v>114</v>
      </c>
      <c r="G10" s="2637"/>
      <c r="H10" s="2025" t="str">
        <f>IF(H9="","",INDEX(DIFFERENTIATION_UNMERGE_VD,MATCH(H9,DIFFERENTIATION_ID_DIFF,0)))</f>
        <v/>
      </c>
      <c r="I10" s="2025">
        <f>IF(I9="","",INDEX(DIFFERENTIATION_UNMERGE_VD,MATCH(I9,DIFFERENTIATION_ID_DIFF,0)))</f>
        <v>0</v>
      </c>
      <c r="J10" s="2392"/>
    </row>
    <row customHeight="1" ht="11.25">
      <c r="E11" s="1072"/>
      <c r="F11" s="2636" t="s">
        <v>605</v>
      </c>
      <c r="G11" s="2637"/>
      <c r="H11" s="2025" t="str">
        <f>IF(H9="","",INDEX(DIFFERENTIATION_UNMERGE_AREA,MATCH(H9,DIFFERENTIATION_ID_DIFF,0)))</f>
        <v/>
      </c>
      <c r="I11" s="2025" t="str">
        <f>IF(I9="","",INDEX(DIFFERENTIATION_UNMERGE_AREA,MATCH(I9,DIFFERENTIATION_ID_DIFF,0)))</f>
        <v/>
      </c>
      <c r="J11" s="2392"/>
    </row>
    <row customHeight="1" ht="11.25" hidden="1">
      <c r="E12" s="2028"/>
      <c r="F12" s="2651" t="s">
        <v>606</v>
      </c>
      <c r="G12" s="2652"/>
      <c r="H12" s="2029" t="str">
        <f>IF(H9="","",INDEX(DIFFERENTIATION_UNMERGE_SYSTEM,MATCH(H9,DIFFERENTIATION_ID_DIFF,0)))</f>
        <v/>
      </c>
      <c r="I12" s="2029" t="str">
        <f>IF(I9="","",INDEX(DIFFERENTIATION_UNMERGE_SYSTEM,MATCH(I9,DIFFERENTIATION_ID_DIFF,0)))</f>
        <v>без дифференциации</v>
      </c>
      <c r="J12" s="2392"/>
    </row>
    <row customHeight="1" ht="11.25">
      <c r="E13" s="2638" t="s">
        <v>341</v>
      </c>
      <c r="F13" s="2639"/>
      <c r="G13" s="2639"/>
      <c r="H13" s="2022"/>
      <c r="I13" s="2022"/>
      <c r="J13" s="2392"/>
    </row>
    <row customHeight="1" ht="22.5">
      <c r="E14" s="2023" t="s">
        <v>87</v>
      </c>
      <c r="F14" s="2026" t="s">
        <v>343</v>
      </c>
      <c r="G14" s="2026" t="s">
        <v>607</v>
      </c>
      <c r="H14" s="2026" t="s">
        <v>344</v>
      </c>
      <c r="I14" s="2026" t="s">
        <v>344</v>
      </c>
      <c r="J14" s="2392"/>
    </row>
    <row customHeight="1" ht="18.75">
      <c r="D15" s="2004"/>
      <c r="E15" s="1996" t="s">
        <v>118</v>
      </c>
      <c r="F15" s="1068" t="s">
        <v>731</v>
      </c>
      <c r="G15" s="2023" t="s">
        <v>593</v>
      </c>
      <c r="H15" s="918"/>
      <c r="I15" s="918"/>
      <c r="J15" s="650" t="s">
        <v>732</v>
      </c>
      <c r="K15" s="904" t="s">
        <v>660</v>
      </c>
    </row>
    <row customHeight="1" ht="22.5">
      <c r="D16" s="2004"/>
      <c r="E16" s="1996" t="s">
        <v>102</v>
      </c>
      <c r="F16" s="2031" t="s">
        <v>733</v>
      </c>
      <c r="G16" s="2023" t="s">
        <v>593</v>
      </c>
      <c r="H16" s="919">
        <f>SUM(H17,H20:H27)</f>
        <v>0</v>
      </c>
      <c r="I16" s="919">
        <f>SUM(I17,I20:I27)</f>
        <v>0</v>
      </c>
      <c r="J16" s="650" t="s">
        <v>734</v>
      </c>
      <c r="K16" s="904" t="s">
        <v>660</v>
      </c>
    </row>
    <row customHeight="1" ht="33.75">
      <c r="D17" s="2004"/>
      <c r="E17" s="2030" t="s">
        <v>663</v>
      </c>
      <c r="F17" s="2033" t="s">
        <v>735</v>
      </c>
      <c r="G17" s="2020" t="s">
        <v>593</v>
      </c>
      <c r="H17" s="918"/>
      <c r="I17" s="918"/>
      <c r="J17" s="650" t="s">
        <v>736</v>
      </c>
      <c r="K17" s="904"/>
    </row>
    <row customHeight="1" ht="18.75">
      <c r="D18" s="2004"/>
      <c r="E18" s="2030" t="s">
        <v>666</v>
      </c>
      <c r="F18" s="2034" t="s">
        <v>737</v>
      </c>
      <c r="G18" s="2020" t="s">
        <v>593</v>
      </c>
      <c r="H18" s="918"/>
      <c r="I18" s="918"/>
      <c r="J18" s="650"/>
      <c r="K18" s="904"/>
    </row>
    <row customHeight="1" ht="22.5">
      <c r="D19" s="2004"/>
      <c r="E19" s="2030" t="s">
        <v>669</v>
      </c>
      <c r="F19" s="2034" t="s">
        <v>738</v>
      </c>
      <c r="G19" s="2020" t="s">
        <v>593</v>
      </c>
      <c r="H19" s="918"/>
      <c r="I19" s="918"/>
      <c r="J19" s="650"/>
      <c r="K19" s="904"/>
    </row>
    <row customHeight="1" ht="33.75">
      <c r="D20" s="2004"/>
      <c r="E20" s="2030" t="s">
        <v>348</v>
      </c>
      <c r="F20" s="2033" t="s">
        <v>739</v>
      </c>
      <c r="G20" s="2020" t="s">
        <v>593</v>
      </c>
      <c r="H20" s="918"/>
      <c r="I20" s="918"/>
      <c r="J20" s="650"/>
      <c r="K20" s="904"/>
    </row>
    <row customHeight="1" ht="33.75">
      <c r="D21" s="2004"/>
      <c r="E21" s="2030" t="s">
        <v>351</v>
      </c>
      <c r="F21" s="2033" t="s">
        <v>740</v>
      </c>
      <c r="G21" s="2020" t="s">
        <v>593</v>
      </c>
      <c r="H21" s="918"/>
      <c r="I21" s="918"/>
      <c r="J21" s="650"/>
      <c r="K21" s="904"/>
    </row>
    <row customHeight="1" ht="56.25">
      <c r="D22" s="2004"/>
      <c r="E22" s="2030" t="s">
        <v>683</v>
      </c>
      <c r="F22" s="2033" t="s">
        <v>741</v>
      </c>
      <c r="G22" s="2020" t="s">
        <v>593</v>
      </c>
      <c r="H22" s="918"/>
      <c r="I22" s="918"/>
      <c r="J22" s="650"/>
      <c r="K22" s="904"/>
    </row>
    <row customHeight="1" ht="33.75">
      <c r="D23" s="2004"/>
      <c r="E23" s="2030" t="s">
        <v>690</v>
      </c>
      <c r="F23" s="2033" t="s">
        <v>742</v>
      </c>
      <c r="G23" s="2020" t="s">
        <v>593</v>
      </c>
      <c r="H23" s="918"/>
      <c r="I23" s="918"/>
      <c r="J23" s="650"/>
      <c r="K23" s="904"/>
    </row>
    <row customHeight="1" ht="33.75">
      <c r="D24" s="2004"/>
      <c r="E24" s="2030" t="s">
        <v>692</v>
      </c>
      <c r="F24" s="2033" t="s">
        <v>743</v>
      </c>
      <c r="G24" s="2020" t="s">
        <v>593</v>
      </c>
      <c r="H24" s="918"/>
      <c r="I24" s="918"/>
      <c r="J24" s="650"/>
      <c r="K24" s="904"/>
    </row>
    <row customHeight="1" ht="22.5">
      <c r="D25" s="2004"/>
      <c r="E25" s="2030" t="s">
        <v>694</v>
      </c>
      <c r="F25" s="2033" t="s">
        <v>744</v>
      </c>
      <c r="G25" s="2020" t="s">
        <v>593</v>
      </c>
      <c r="H25" s="918"/>
      <c r="I25" s="918"/>
      <c r="J25" s="650"/>
      <c r="K25" s="904"/>
    </row>
    <row customHeight="1" ht="67.5">
      <c r="D26" s="2004"/>
      <c r="E26" s="2030" t="s">
        <v>696</v>
      </c>
      <c r="F26" s="2033" t="s">
        <v>745</v>
      </c>
      <c r="G26" s="2020" t="s">
        <v>593</v>
      </c>
      <c r="H26" s="918"/>
      <c r="I26" s="918"/>
      <c r="J26" s="650"/>
      <c r="K26" s="904"/>
    </row>
    <row s="32217" customFormat="1" customHeight="1" ht="22.5">
      <c r="A27" s="1349"/>
      <c r="C27" s="2002"/>
      <c r="D27" s="2004"/>
      <c r="E27" s="1995" t="s">
        <v>700</v>
      </c>
      <c r="F27" s="1994" t="s">
        <v>746</v>
      </c>
      <c r="G27" s="2021" t="s">
        <v>593</v>
      </c>
      <c r="H27" s="940">
        <f>SUM(H28:H29)</f>
        <v>0</v>
      </c>
      <c r="I27" s="940">
        <f>SUM(I28:I29)</f>
        <v>0</v>
      </c>
      <c r="J27" s="650" t="s">
        <v>698</v>
      </c>
      <c r="K27" s="904"/>
      <c r="L27" s="2002"/>
      <c r="M27" s="2002"/>
      <c r="R27" s="2002"/>
      <c r="U27" s="905"/>
      <c r="AA27" s="1998"/>
      <c r="AB27" s="1998"/>
      <c r="AC27" s="1998"/>
      <c r="AD27" s="1998"/>
      <c r="AE27" s="1998"/>
    </row>
    <row s="32341" customFormat="1" customHeight="1" ht="0.75">
      <c r="A28" s="1530"/>
      <c r="D28" s="909"/>
      <c r="E28" s="1163" t="str">
        <f>E27&amp;".0"</f>
        <v>2.9.0</v>
      </c>
      <c r="F28" s="1353"/>
      <c r="G28" s="912"/>
      <c r="H28" s="1354"/>
      <c r="I28" s="1354"/>
      <c r="J28" s="1355"/>
    </row>
    <row s="32217" customFormat="1" customHeight="1" ht="18.75">
      <c r="A29" s="1349"/>
      <c r="C29" s="2002"/>
      <c r="D29" s="1999"/>
      <c r="E29" s="931"/>
      <c r="F29" s="2032" t="s">
        <v>618</v>
      </c>
      <c r="G29" s="933"/>
      <c r="H29" s="934"/>
      <c r="I29" s="934"/>
      <c r="J29" s="662" t="s">
        <v>699</v>
      </c>
      <c r="K29" s="904"/>
      <c r="L29" s="2002"/>
      <c r="M29" s="2002"/>
      <c r="R29" s="2002"/>
      <c r="U29" s="905"/>
      <c r="AA29" s="1998"/>
      <c r="AB29" s="1998"/>
      <c r="AC29" s="1998"/>
      <c r="AD29" s="1998"/>
      <c r="AE29" s="1998"/>
    </row>
    <row s="32217" customFormat="1" customHeight="1" ht="22.5">
      <c r="A30" s="1349"/>
      <c r="C30" s="2002"/>
      <c r="D30" s="2004"/>
      <c r="E30" s="2030" t="s">
        <v>89</v>
      </c>
      <c r="F30" s="2027" t="s">
        <v>747</v>
      </c>
      <c r="G30" s="2020" t="s">
        <v>593</v>
      </c>
      <c r="H30" s="918"/>
      <c r="I30" s="918"/>
      <c r="J30" s="650"/>
      <c r="K30" s="904"/>
      <c r="L30" s="2002"/>
      <c r="M30" s="2002"/>
      <c r="R30" s="2002"/>
      <c r="U30" s="905"/>
      <c r="AA30" s="1998"/>
      <c r="AB30" s="1998"/>
      <c r="AC30" s="1998"/>
      <c r="AD30" s="1998"/>
      <c r="AE30" s="1998"/>
    </row>
    <row s="32217" customFormat="1" customHeight="1" ht="33.75">
      <c r="A31" s="1349"/>
      <c r="C31" s="2002"/>
      <c r="D31" s="936"/>
      <c r="E31" s="2030" t="s">
        <v>90</v>
      </c>
      <c r="F31" s="2027" t="s">
        <v>748</v>
      </c>
      <c r="G31" s="2020" t="s">
        <v>593</v>
      </c>
      <c r="H31" s="918"/>
      <c r="I31" s="918"/>
      <c r="J31" s="650" t="s">
        <v>749</v>
      </c>
      <c r="K31" s="904"/>
      <c r="L31" s="2002"/>
      <c r="M31" s="2002"/>
      <c r="R31" s="2002"/>
      <c r="U31" s="905"/>
      <c r="AA31" s="1998"/>
      <c r="AB31" s="1998"/>
      <c r="AC31" s="1998"/>
      <c r="AD31" s="1998"/>
      <c r="AE31" s="1998"/>
    </row>
    <row s="32217" customFormat="1" customHeight="1" ht="22.5">
      <c r="A32" s="1349"/>
      <c r="C32" s="2002"/>
      <c r="D32" s="2004"/>
      <c r="E32" s="2030" t="s">
        <v>708</v>
      </c>
      <c r="F32" s="1051" t="s">
        <v>712</v>
      </c>
      <c r="G32" s="2020" t="s">
        <v>593</v>
      </c>
      <c r="H32" s="918"/>
      <c r="I32" s="918"/>
      <c r="J32" s="650" t="s">
        <v>750</v>
      </c>
      <c r="K32" s="904"/>
      <c r="L32" s="2002"/>
      <c r="M32" s="2002"/>
      <c r="R32" s="2002"/>
      <c r="U32" s="905"/>
      <c r="AA32" s="1998"/>
      <c r="AB32" s="1998"/>
      <c r="AC32" s="1998"/>
      <c r="AD32" s="1998"/>
      <c r="AE32" s="1998"/>
    </row>
    <row s="32217" customFormat="1" customHeight="1" ht="22.5">
      <c r="A33" s="1349"/>
      <c r="C33" s="2002"/>
      <c r="D33" s="2004"/>
      <c r="E33" s="2030" t="s">
        <v>751</v>
      </c>
      <c r="F33" s="1051" t="s">
        <v>752</v>
      </c>
      <c r="G33" s="2020" t="s">
        <v>593</v>
      </c>
      <c r="H33" s="918"/>
      <c r="I33" s="918"/>
      <c r="J33" s="650" t="s">
        <v>753</v>
      </c>
      <c r="K33" s="904"/>
      <c r="L33" s="2002"/>
      <c r="M33" s="2002"/>
      <c r="R33" s="2002"/>
      <c r="U33" s="905"/>
      <c r="AA33" s="1998"/>
      <c r="AB33" s="1998"/>
      <c r="AC33" s="1998"/>
      <c r="AD33" s="1998"/>
      <c r="AE33" s="1998"/>
    </row>
    <row s="32217" customFormat="1" customHeight="1" ht="22.5">
      <c r="A34" s="1349"/>
      <c r="C34" s="2002"/>
      <c r="D34" s="2004"/>
      <c r="E34" s="2030" t="s">
        <v>754</v>
      </c>
      <c r="F34" s="1051" t="s">
        <v>718</v>
      </c>
      <c r="G34" s="2020" t="s">
        <v>593</v>
      </c>
      <c r="H34" s="918"/>
      <c r="I34" s="918"/>
      <c r="J34" s="650" t="s">
        <v>755</v>
      </c>
      <c r="K34" s="904"/>
      <c r="L34" s="2002"/>
      <c r="M34" s="2002"/>
      <c r="R34" s="2002"/>
      <c r="U34" s="905"/>
      <c r="AA34" s="1998"/>
      <c r="AB34" s="1998"/>
      <c r="AC34" s="1998"/>
      <c r="AD34" s="1998"/>
      <c r="AE34" s="1998"/>
    </row>
    <row s="32217" customFormat="1" customHeight="1" ht="33.75">
      <c r="A35" s="1349"/>
      <c r="C35" s="2002" t="s">
        <v>629</v>
      </c>
      <c r="D35" s="2004"/>
      <c r="E35" s="2030" t="s">
        <v>119</v>
      </c>
      <c r="F35" s="2027" t="s">
        <v>720</v>
      </c>
      <c r="G35" s="2023" t="s">
        <v>347</v>
      </c>
      <c r="H35" s="762"/>
      <c r="I35" s="762"/>
      <c r="J35" s="650" t="s">
        <v>756</v>
      </c>
      <c r="K35" s="904"/>
      <c r="L35" s="2002"/>
      <c r="M35" s="2002"/>
      <c r="R35" s="2002"/>
      <c r="U35" s="905"/>
      <c r="AA35" s="1998"/>
      <c r="AB35" s="1998"/>
      <c r="AC35" s="1998"/>
      <c r="AD35" s="1998"/>
      <c r="AE35" s="1998"/>
    </row>
    <row s="32217" customFormat="1" customHeight="1" ht="22.5">
      <c r="A36" s="1349"/>
      <c r="C36" s="2002"/>
      <c r="D36" s="2004"/>
      <c r="E36" s="2030" t="s">
        <v>91</v>
      </c>
      <c r="F36" s="2027" t="s">
        <v>757</v>
      </c>
      <c r="G36" s="2020" t="s">
        <v>724</v>
      </c>
      <c r="H36" s="906"/>
      <c r="I36" s="906"/>
      <c r="J36" s="650" t="s">
        <v>725</v>
      </c>
      <c r="K36" s="904"/>
      <c r="L36" s="2002"/>
      <c r="M36" s="2002"/>
      <c r="R36" s="2002"/>
      <c r="U36" s="905"/>
      <c r="AA36" s="1998"/>
      <c r="AB36" s="1998"/>
      <c r="AC36" s="1998"/>
      <c r="AD36" s="1998"/>
      <c r="AE36" s="1998"/>
    </row>
    <row s="32217" customFormat="1" customHeight="1" ht="22.5">
      <c r="A37" s="1349"/>
      <c r="C37" s="2002"/>
      <c r="D37" s="2004"/>
      <c r="E37" s="2030" t="s">
        <v>92</v>
      </c>
      <c r="F37" s="2027" t="s">
        <v>758</v>
      </c>
      <c r="G37" s="2020" t="s">
        <v>727</v>
      </c>
      <c r="H37" s="906"/>
      <c r="I37" s="906"/>
      <c r="J37" s="650" t="s">
        <v>728</v>
      </c>
      <c r="K37" s="904"/>
      <c r="L37" s="2002"/>
      <c r="M37" s="2002"/>
      <c r="R37" s="2002"/>
      <c r="U37" s="905"/>
      <c r="AA37" s="1998"/>
      <c r="AB37" s="1998"/>
      <c r="AC37" s="1998"/>
      <c r="AD37" s="1998"/>
      <c r="AE37" s="1998"/>
    </row>
    <row customHeight="1" ht="11.25">
      <c r="D38" s="2004"/>
    </row>
    <row customHeight="1" ht="26.25">
      <c r="D39" s="2004"/>
      <c r="E39" s="1618" t="s">
        <v>759</v>
      </c>
      <c r="F39" s="2526" t="s">
        <v>760</v>
      </c>
      <c r="G39" s="2526"/>
      <c r="H39" s="2526"/>
      <c r="I39" s="2526"/>
      <c r="J39" s="2526"/>
    </row>
    <row s="32338" customFormat="1" customHeight="1" ht="37.5">
      <c r="A40" s="1349"/>
      <c r="B40" s="2002"/>
      <c r="C40" s="2002"/>
      <c r="D40" s="712"/>
      <c r="F40" s="2526" t="s">
        <v>761</v>
      </c>
      <c r="G40" s="2526"/>
      <c r="H40" s="2526"/>
      <c r="I40" s="2526"/>
      <c r="J40" s="2526"/>
      <c r="K40" s="1523"/>
      <c r="L40" s="2002"/>
      <c r="M40" s="2002"/>
      <c r="N40" s="1523"/>
      <c r="O40" s="1523"/>
      <c r="P40" s="1523"/>
      <c r="Q40" s="1523"/>
      <c r="R40" s="2002"/>
      <c r="S40" s="1523"/>
      <c r="T40" s="1523"/>
      <c r="U40" s="905"/>
      <c r="V40" s="1523"/>
      <c r="W40" s="1523"/>
      <c r="X40" s="1523"/>
      <c r="Y40" s="1523"/>
      <c r="Z40" s="1523"/>
      <c r="AA40" s="1998"/>
      <c r="AB40" s="927"/>
      <c r="AC40" s="927"/>
      <c r="AD40" s="927"/>
      <c r="AE40" s="927"/>
    </row>
    <row s="32338" customFormat="1" customHeight="1" ht="11.25">
      <c r="A41" s="1349"/>
      <c r="B41" s="2002"/>
      <c r="C41" s="2002"/>
      <c r="D41" s="712"/>
      <c r="K41" s="1523"/>
      <c r="L41" s="2002"/>
      <c r="M41" s="2002"/>
      <c r="N41" s="1523"/>
      <c r="O41" s="1523"/>
      <c r="P41" s="1523"/>
      <c r="Q41" s="1523"/>
      <c r="R41" s="2002"/>
      <c r="S41" s="1523"/>
      <c r="T41" s="1523"/>
      <c r="U41" s="905"/>
      <c r="V41" s="1523"/>
      <c r="W41" s="1523"/>
      <c r="X41" s="1523"/>
      <c r="Y41" s="1523"/>
      <c r="Z41" s="1523"/>
      <c r="AA41" s="1998"/>
      <c r="AB41" s="927"/>
      <c r="AC41" s="927"/>
      <c r="AD41" s="927"/>
      <c r="AE41" s="927"/>
    </row>
    <row s="32338" customFormat="1" customHeight="1" ht="11.25">
      <c r="A42" s="1349"/>
      <c r="B42" s="2002"/>
      <c r="C42" s="2002"/>
      <c r="D42" s="712"/>
      <c r="K42" s="1523"/>
      <c r="L42" s="2002"/>
      <c r="M42" s="2002"/>
      <c r="N42" s="1523"/>
      <c r="O42" s="1523"/>
      <c r="P42" s="1523"/>
      <c r="Q42" s="1523"/>
      <c r="R42" s="2002"/>
      <c r="S42" s="1523"/>
      <c r="T42" s="1523"/>
      <c r="U42" s="905"/>
      <c r="V42" s="1523"/>
      <c r="W42" s="1523"/>
      <c r="X42" s="1523"/>
      <c r="Y42" s="1523"/>
      <c r="Z42" s="1523"/>
      <c r="AA42" s="1998"/>
      <c r="AB42" s="927"/>
      <c r="AC42" s="927"/>
      <c r="AD42" s="927"/>
      <c r="AE42" s="927"/>
    </row>
    <row s="32338" customFormat="1" customHeight="1" ht="11.25">
      <c r="A43" s="1349"/>
      <c r="B43" s="2002"/>
      <c r="C43" s="2002"/>
      <c r="D43" s="712"/>
      <c r="H43" s="927"/>
      <c r="I43" s="927"/>
      <c r="K43" s="1523"/>
      <c r="L43" s="2002"/>
      <c r="M43" s="2002"/>
      <c r="N43" s="1523"/>
      <c r="O43" s="1523"/>
      <c r="P43" s="1523"/>
      <c r="Q43" s="1523"/>
      <c r="R43" s="2002"/>
      <c r="S43" s="1523"/>
      <c r="T43" s="1523"/>
      <c r="U43" s="905"/>
      <c r="V43" s="1523"/>
      <c r="W43" s="1523"/>
      <c r="X43" s="1523"/>
      <c r="Y43" s="1523"/>
      <c r="Z43" s="1523"/>
      <c r="AA43" s="1998"/>
      <c r="AB43" s="927"/>
      <c r="AC43" s="927"/>
      <c r="AD43" s="927"/>
      <c r="AE43" s="927"/>
    </row>
    <row s="32338" customFormat="1" customHeight="1" ht="11.25">
      <c r="A44" s="1349"/>
      <c r="B44" s="2002"/>
      <c r="C44" s="2002"/>
      <c r="D44" s="712"/>
      <c r="K44" s="1523"/>
      <c r="L44" s="2002"/>
      <c r="M44" s="2002"/>
      <c r="N44" s="1523"/>
      <c r="O44" s="1523"/>
      <c r="P44" s="1523"/>
      <c r="Q44" s="1523"/>
      <c r="R44" s="2002"/>
      <c r="S44" s="1523"/>
      <c r="T44" s="1523"/>
      <c r="U44" s="905"/>
      <c r="V44" s="1523"/>
      <c r="W44" s="1523"/>
      <c r="X44" s="1523"/>
      <c r="Y44" s="1523"/>
      <c r="Z44" s="1523"/>
      <c r="AA44" s="1998"/>
      <c r="AB44" s="927"/>
      <c r="AC44" s="927"/>
      <c r="AD44" s="927"/>
      <c r="AE44" s="927"/>
    </row>
    <row s="32338" customFormat="1" customHeight="1" ht="11.25">
      <c r="A45" s="1349"/>
      <c r="B45" s="2002"/>
      <c r="C45" s="2002"/>
      <c r="D45" s="712"/>
      <c r="K45" s="1523"/>
      <c r="L45" s="2002"/>
      <c r="M45" s="2002"/>
      <c r="N45" s="1523"/>
      <c r="O45" s="1523"/>
      <c r="P45" s="1523"/>
      <c r="Q45" s="1523"/>
      <c r="R45" s="2002"/>
      <c r="S45" s="1523"/>
      <c r="T45" s="1523"/>
      <c r="U45" s="905"/>
      <c r="V45" s="1523"/>
      <c r="W45" s="1523"/>
      <c r="X45" s="1523"/>
      <c r="Y45" s="1523"/>
      <c r="Z45" s="1523"/>
      <c r="AA45" s="1998"/>
      <c r="AB45" s="927"/>
      <c r="AC45" s="927"/>
      <c r="AD45" s="927"/>
      <c r="AE45" s="927"/>
    </row>
    <row s="32338" customFormat="1" customHeight="1" ht="11.25">
      <c r="A46" s="1349"/>
      <c r="B46" s="2002"/>
      <c r="C46" s="2002"/>
      <c r="D46" s="712"/>
      <c r="K46" s="1523"/>
      <c r="L46" s="2002"/>
      <c r="M46" s="2002"/>
      <c r="N46" s="1523"/>
      <c r="O46" s="1523"/>
      <c r="P46" s="1523"/>
      <c r="Q46" s="1523"/>
      <c r="R46" s="2002"/>
      <c r="S46" s="1523"/>
      <c r="T46" s="1523"/>
      <c r="U46" s="905"/>
      <c r="V46" s="1523"/>
      <c r="W46" s="1523"/>
      <c r="X46" s="1523"/>
      <c r="Y46" s="1523"/>
      <c r="Z46" s="1523"/>
      <c r="AA46" s="1998"/>
      <c r="AB46" s="927"/>
      <c r="AC46" s="927"/>
      <c r="AD46" s="927"/>
      <c r="AE46" s="927"/>
    </row>
    <row s="32338" customFormat="1" customHeight="1" ht="11.25">
      <c r="A47" s="1349"/>
      <c r="B47" s="2002"/>
      <c r="C47" s="2002"/>
      <c r="D47" s="712"/>
      <c r="K47" s="1523"/>
      <c r="L47" s="2002"/>
      <c r="M47" s="2002"/>
      <c r="N47" s="1523"/>
      <c r="O47" s="1523"/>
      <c r="P47" s="1523"/>
      <c r="Q47" s="1523"/>
      <c r="R47" s="2002"/>
      <c r="S47" s="1523"/>
      <c r="T47" s="1523"/>
      <c r="U47" s="905"/>
      <c r="V47" s="1523"/>
      <c r="W47" s="1523"/>
      <c r="X47" s="1523"/>
      <c r="Y47" s="1523"/>
      <c r="Z47" s="1523"/>
      <c r="AA47" s="1998"/>
      <c r="AB47" s="927"/>
      <c r="AC47" s="927"/>
      <c r="AD47" s="927"/>
      <c r="AE47" s="927"/>
    </row>
    <row s="32338" customFormat="1" customHeight="1" ht="11.25">
      <c r="A48" s="1349"/>
      <c r="B48" s="2002"/>
      <c r="C48" s="2002"/>
      <c r="D48" s="712"/>
      <c r="K48" s="1523"/>
      <c r="L48" s="2002"/>
      <c r="M48" s="2002"/>
      <c r="N48" s="1523"/>
      <c r="O48" s="1523"/>
      <c r="P48" s="1523"/>
      <c r="Q48" s="1523"/>
      <c r="R48" s="2002"/>
      <c r="S48" s="1523"/>
      <c r="T48" s="1523"/>
      <c r="U48" s="905"/>
      <c r="V48" s="1523"/>
      <c r="W48" s="1523"/>
      <c r="X48" s="1523"/>
      <c r="Y48" s="1523"/>
      <c r="Z48" s="1523"/>
      <c r="AA48" s="1998"/>
      <c r="AB48" s="927"/>
      <c r="AC48" s="927"/>
      <c r="AD48" s="927"/>
      <c r="AE48" s="927"/>
    </row>
    <row s="32338" customFormat="1" customHeight="1" ht="11.25">
      <c r="A49" s="1349"/>
      <c r="B49" s="2002"/>
      <c r="C49" s="2002"/>
      <c r="D49" s="712"/>
      <c r="K49" s="1523"/>
      <c r="L49" s="2002"/>
      <c r="M49" s="2002"/>
      <c r="N49" s="1523"/>
      <c r="O49" s="1523"/>
      <c r="P49" s="1523"/>
      <c r="Q49" s="1523"/>
      <c r="R49" s="2002"/>
      <c r="S49" s="1523"/>
      <c r="T49" s="1523"/>
      <c r="U49" s="905"/>
      <c r="V49" s="1523"/>
      <c r="W49" s="1523"/>
      <c r="X49" s="1523"/>
      <c r="Y49" s="1523"/>
      <c r="Z49" s="1523"/>
      <c r="AA49" s="1998"/>
      <c r="AB49" s="927"/>
      <c r="AC49" s="927"/>
      <c r="AD49" s="927"/>
      <c r="AE49" s="927"/>
    </row>
    <row s="32338" customFormat="1" customHeight="1" ht="11.25">
      <c r="A50" s="1349"/>
      <c r="B50" s="2002"/>
      <c r="C50" s="2002"/>
      <c r="D50" s="712"/>
      <c r="K50" s="1523"/>
      <c r="L50" s="2002"/>
      <c r="M50" s="2002"/>
      <c r="N50" s="1523"/>
      <c r="O50" s="1523"/>
      <c r="P50" s="1523"/>
      <c r="Q50" s="1523"/>
      <c r="R50" s="2002"/>
      <c r="S50" s="1523"/>
      <c r="T50" s="1523"/>
      <c r="U50" s="905"/>
      <c r="V50" s="1523"/>
      <c r="W50" s="1523"/>
      <c r="X50" s="1523"/>
      <c r="Y50" s="1523"/>
      <c r="Z50" s="1523"/>
      <c r="AA50" s="1998"/>
      <c r="AB50" s="927"/>
      <c r="AC50" s="927"/>
      <c r="AD50" s="927"/>
      <c r="AE50" s="927"/>
    </row>
    <row s="32338" customFormat="1" customHeight="1" ht="11.25">
      <c r="A51" s="1349"/>
      <c r="B51" s="2002"/>
      <c r="C51" s="2002"/>
      <c r="D51" s="712"/>
      <c r="K51" s="1523"/>
      <c r="L51" s="2002"/>
      <c r="M51" s="2002"/>
      <c r="N51" s="1523"/>
      <c r="O51" s="1523"/>
      <c r="P51" s="1523"/>
      <c r="Q51" s="1523"/>
      <c r="R51" s="2002"/>
      <c r="S51" s="1523"/>
      <c r="T51" s="1523"/>
      <c r="U51" s="905"/>
      <c r="V51" s="1523"/>
      <c r="W51" s="1523"/>
      <c r="X51" s="1523"/>
      <c r="Y51" s="1523"/>
      <c r="Z51" s="1523"/>
      <c r="AA51" s="1998"/>
      <c r="AB51" s="927"/>
      <c r="AC51" s="927"/>
      <c r="AD51" s="927"/>
      <c r="AE51" s="927"/>
    </row>
    <row s="32338" customFormat="1" customHeight="1" ht="11.25">
      <c r="A52" s="1349"/>
      <c r="B52" s="2002"/>
      <c r="C52" s="2002"/>
      <c r="D52" s="712"/>
      <c r="K52" s="1523"/>
      <c r="L52" s="2002"/>
      <c r="M52" s="2002"/>
      <c r="N52" s="1523"/>
      <c r="O52" s="1523"/>
      <c r="P52" s="1523"/>
      <c r="Q52" s="1523"/>
      <c r="R52" s="2002"/>
      <c r="S52" s="1523"/>
      <c r="T52" s="1523"/>
      <c r="U52" s="905"/>
      <c r="V52" s="1523"/>
      <c r="W52" s="1523"/>
      <c r="X52" s="1523"/>
      <c r="Y52" s="1523"/>
      <c r="Z52" s="1523"/>
      <c r="AA52" s="1998"/>
      <c r="AB52" s="927"/>
      <c r="AC52" s="927"/>
      <c r="AD52" s="927"/>
      <c r="AE52" s="927"/>
    </row>
    <row s="32338" customFormat="1" customHeight="1" ht="11.25">
      <c r="A53" s="1349"/>
      <c r="B53" s="2002"/>
      <c r="C53" s="2002"/>
      <c r="D53" s="712"/>
      <c r="K53" s="1523"/>
      <c r="L53" s="2002"/>
      <c r="M53" s="2002"/>
      <c r="N53" s="1523"/>
      <c r="O53" s="1523"/>
      <c r="P53" s="1523"/>
      <c r="Q53" s="1523"/>
      <c r="R53" s="2002"/>
      <c r="S53" s="1523"/>
      <c r="T53" s="1523"/>
      <c r="U53" s="905"/>
      <c r="V53" s="1523"/>
      <c r="W53" s="1523"/>
      <c r="X53" s="1523"/>
      <c r="Y53" s="1523"/>
      <c r="Z53" s="1523"/>
      <c r="AA53" s="1998"/>
      <c r="AB53" s="927"/>
      <c r="AC53" s="927"/>
      <c r="AD53" s="927"/>
      <c r="AE53" s="927"/>
    </row>
    <row s="32338" customFormat="1" customHeight="1" ht="11.25">
      <c r="A54" s="1349"/>
      <c r="B54" s="2002"/>
      <c r="C54" s="2002"/>
      <c r="D54" s="712"/>
      <c r="K54" s="1523"/>
      <c r="L54" s="2002"/>
      <c r="M54" s="2002"/>
      <c r="N54" s="1523"/>
      <c r="O54" s="1523"/>
      <c r="P54" s="1523"/>
      <c r="Q54" s="1523"/>
      <c r="R54" s="2002"/>
      <c r="S54" s="1523"/>
      <c r="T54" s="1523"/>
      <c r="U54" s="905"/>
      <c r="V54" s="1523"/>
      <c r="W54" s="1523"/>
      <c r="X54" s="1523"/>
      <c r="Y54" s="1523"/>
      <c r="Z54" s="1523"/>
      <c r="AA54" s="1998"/>
      <c r="AB54" s="927"/>
      <c r="AC54" s="927"/>
      <c r="AD54" s="927"/>
      <c r="AE54" s="927"/>
    </row>
    <row s="32338" customFormat="1" customHeight="1" ht="11.25">
      <c r="A55" s="1349"/>
      <c r="B55" s="2002"/>
      <c r="C55" s="2002"/>
      <c r="D55" s="712"/>
      <c r="K55" s="1523"/>
      <c r="L55" s="2002"/>
      <c r="M55" s="2002"/>
      <c r="N55" s="1523"/>
      <c r="O55" s="1523"/>
      <c r="P55" s="1523"/>
      <c r="Q55" s="1523"/>
      <c r="R55" s="2002"/>
      <c r="S55" s="1523"/>
      <c r="T55" s="1523"/>
      <c r="U55" s="905"/>
      <c r="V55" s="1523"/>
      <c r="W55" s="1523"/>
      <c r="X55" s="1523"/>
      <c r="Y55" s="1523"/>
      <c r="Z55" s="1523"/>
      <c r="AA55" s="1998"/>
      <c r="AB55" s="927"/>
      <c r="AC55" s="927"/>
      <c r="AD55" s="927"/>
      <c r="AE55" s="927"/>
    </row>
    <row s="32338" customFormat="1" customHeight="1" ht="11.25">
      <c r="A56" s="1349"/>
      <c r="B56" s="2002"/>
      <c r="C56" s="2002"/>
      <c r="D56" s="712"/>
      <c r="K56" s="1523"/>
      <c r="L56" s="2002"/>
      <c r="M56" s="2002"/>
      <c r="N56" s="1523"/>
      <c r="O56" s="1523"/>
      <c r="P56" s="1523"/>
      <c r="Q56" s="1523"/>
      <c r="R56" s="2002"/>
      <c r="S56" s="1523"/>
      <c r="T56" s="1523"/>
      <c r="U56" s="905"/>
      <c r="V56" s="1523"/>
      <c r="W56" s="1523"/>
      <c r="X56" s="1523"/>
      <c r="Y56" s="1523"/>
      <c r="Z56" s="1523"/>
      <c r="AA56" s="1998"/>
      <c r="AB56" s="927"/>
      <c r="AC56" s="927"/>
      <c r="AD56" s="927"/>
      <c r="AE56" s="927"/>
    </row>
    <row s="32338" customFormat="1" customHeight="1" ht="11.25">
      <c r="A57" s="1349"/>
      <c r="B57" s="2002"/>
      <c r="C57" s="2002"/>
      <c r="D57" s="712"/>
      <c r="K57" s="1523"/>
      <c r="L57" s="2002"/>
      <c r="M57" s="2002"/>
      <c r="N57" s="1523"/>
      <c r="O57" s="1523"/>
      <c r="P57" s="1523"/>
      <c r="Q57" s="1523"/>
      <c r="R57" s="2002"/>
      <c r="S57" s="1523"/>
      <c r="T57" s="1523"/>
      <c r="U57" s="905"/>
      <c r="V57" s="1523"/>
      <c r="W57" s="1523"/>
      <c r="X57" s="1523"/>
      <c r="Y57" s="1523"/>
      <c r="Z57" s="1523"/>
      <c r="AA57" s="1998"/>
      <c r="AB57" s="927"/>
      <c r="AC57" s="927"/>
      <c r="AD57" s="927"/>
      <c r="AE57" s="927"/>
    </row>
    <row s="32338" customFormat="1" customHeight="1" ht="11.25">
      <c r="A58" s="1349"/>
      <c r="B58" s="2002"/>
      <c r="C58" s="2002"/>
      <c r="D58" s="712"/>
      <c r="K58" s="1523"/>
      <c r="L58" s="2002"/>
      <c r="M58" s="2002"/>
      <c r="N58" s="1523"/>
      <c r="O58" s="1523"/>
      <c r="P58" s="1523"/>
      <c r="Q58" s="1523"/>
      <c r="R58" s="2002"/>
      <c r="S58" s="1523"/>
      <c r="T58" s="1523"/>
      <c r="U58" s="905"/>
      <c r="V58" s="1523"/>
      <c r="W58" s="1523"/>
      <c r="X58" s="1523"/>
      <c r="Y58" s="1523"/>
      <c r="Z58" s="1523"/>
      <c r="AA58" s="1998"/>
      <c r="AB58" s="927"/>
      <c r="AC58" s="927"/>
      <c r="AD58" s="927"/>
      <c r="AE58" s="927"/>
    </row>
    <row s="32338" customFormat="1" customHeight="1" ht="11.25">
      <c r="A59" s="1349"/>
      <c r="B59" s="2002"/>
      <c r="C59" s="2002"/>
      <c r="D59" s="712"/>
      <c r="K59" s="1523"/>
      <c r="L59" s="2002"/>
      <c r="M59" s="2002"/>
      <c r="N59" s="1523"/>
      <c r="O59" s="1523"/>
      <c r="P59" s="1523"/>
      <c r="Q59" s="1523"/>
      <c r="R59" s="2002"/>
      <c r="S59" s="1523"/>
      <c r="T59" s="1523"/>
      <c r="U59" s="905"/>
      <c r="V59" s="1523"/>
      <c r="W59" s="1523"/>
      <c r="X59" s="1523"/>
      <c r="Y59" s="1523"/>
      <c r="Z59" s="1523"/>
      <c r="AA59" s="1998"/>
      <c r="AB59" s="927"/>
      <c r="AC59" s="927"/>
      <c r="AD59" s="927"/>
      <c r="AE59" s="927"/>
    </row>
    <row s="32338" customFormat="1" customHeight="1" ht="11.25">
      <c r="A60" s="1349"/>
      <c r="B60" s="2002"/>
      <c r="C60" s="2002"/>
      <c r="D60" s="712"/>
      <c r="K60" s="1523"/>
      <c r="L60" s="2002"/>
      <c r="M60" s="2002"/>
      <c r="N60" s="1523"/>
      <c r="O60" s="1523"/>
      <c r="P60" s="1523"/>
      <c r="Q60" s="1523"/>
      <c r="R60" s="2002"/>
      <c r="S60" s="1523"/>
      <c r="T60" s="1523"/>
      <c r="U60" s="905"/>
      <c r="V60" s="1523"/>
      <c r="W60" s="1523"/>
      <c r="X60" s="1523"/>
      <c r="Y60" s="1523"/>
      <c r="Z60" s="1523"/>
      <c r="AA60" s="1998"/>
      <c r="AB60" s="927"/>
      <c r="AC60" s="927"/>
      <c r="AD60" s="927"/>
      <c r="AE60" s="927"/>
    </row>
    <row s="32338" customFormat="1" customHeight="1" ht="11.25">
      <c r="A61" s="1349"/>
      <c r="B61" s="2002"/>
      <c r="C61" s="2002"/>
      <c r="D61" s="712"/>
      <c r="K61" s="1523"/>
      <c r="L61" s="2002"/>
      <c r="M61" s="2002"/>
      <c r="N61" s="1523"/>
      <c r="O61" s="1523"/>
      <c r="P61" s="1523"/>
      <c r="Q61" s="1523"/>
      <c r="R61" s="2002"/>
      <c r="S61" s="1523"/>
      <c r="T61" s="1523"/>
      <c r="U61" s="905"/>
      <c r="V61" s="1523"/>
      <c r="W61" s="1523"/>
      <c r="X61" s="1523"/>
      <c r="Y61" s="1523"/>
      <c r="Z61" s="1523"/>
      <c r="AA61" s="1998"/>
      <c r="AB61" s="927"/>
      <c r="AC61" s="927"/>
      <c r="AD61" s="927"/>
      <c r="AE61" s="927"/>
    </row>
    <row s="32338" customFormat="1" customHeight="1" ht="11.25">
      <c r="A62" s="1349"/>
      <c r="B62" s="2002"/>
      <c r="C62" s="2002"/>
      <c r="D62" s="712"/>
      <c r="K62" s="1523"/>
      <c r="L62" s="2002"/>
      <c r="M62" s="2002"/>
      <c r="N62" s="1523"/>
      <c r="O62" s="1523"/>
      <c r="P62" s="1523"/>
      <c r="Q62" s="1523"/>
      <c r="R62" s="2002"/>
      <c r="S62" s="1523"/>
      <c r="T62" s="1523"/>
      <c r="U62" s="905"/>
      <c r="V62" s="1523"/>
      <c r="W62" s="1523"/>
      <c r="X62" s="1523"/>
      <c r="Y62" s="1523"/>
      <c r="Z62" s="1523"/>
      <c r="AA62" s="1998"/>
      <c r="AB62" s="927"/>
      <c r="AC62" s="927"/>
      <c r="AD62" s="927"/>
      <c r="AE62" s="927"/>
    </row>
    <row s="32338" customFormat="1" customHeight="1" ht="11.25">
      <c r="A63" s="1349"/>
      <c r="B63" s="2002"/>
      <c r="C63" s="2002"/>
      <c r="D63" s="712"/>
      <c r="K63" s="1523"/>
      <c r="L63" s="2002"/>
      <c r="M63" s="2002"/>
      <c r="N63" s="1523"/>
      <c r="O63" s="1523"/>
      <c r="P63" s="1523"/>
      <c r="Q63" s="1523"/>
      <c r="R63" s="2002"/>
      <c r="S63" s="1523"/>
      <c r="T63" s="1523"/>
      <c r="U63" s="905"/>
      <c r="V63" s="1523"/>
      <c r="W63" s="1523"/>
      <c r="X63" s="1523"/>
      <c r="Y63" s="1523"/>
      <c r="Z63" s="1523"/>
      <c r="AA63" s="1998"/>
      <c r="AB63" s="927"/>
      <c r="AC63" s="927"/>
      <c r="AD63" s="927"/>
      <c r="AE63" s="927"/>
    </row>
    <row s="32338" customFormat="1" customHeight="1" ht="11.25">
      <c r="A64" s="1349"/>
      <c r="B64" s="2002"/>
      <c r="C64" s="2002"/>
      <c r="D64" s="712"/>
      <c r="K64" s="1523"/>
      <c r="L64" s="2002"/>
      <c r="M64" s="2002"/>
      <c r="N64" s="1523"/>
      <c r="O64" s="1523"/>
      <c r="P64" s="1523"/>
      <c r="Q64" s="1523"/>
      <c r="R64" s="2002"/>
      <c r="S64" s="1523"/>
      <c r="T64" s="1523"/>
      <c r="U64" s="905"/>
      <c r="V64" s="1523"/>
      <c r="W64" s="1523"/>
      <c r="X64" s="1523"/>
      <c r="Y64" s="1523"/>
      <c r="Z64" s="1523"/>
      <c r="AA64" s="1998"/>
      <c r="AB64" s="927"/>
      <c r="AC64" s="927"/>
      <c r="AD64" s="927"/>
      <c r="AE64" s="927"/>
    </row>
    <row s="32338" customFormat="1" customHeight="1" ht="11.25">
      <c r="A65" s="1349"/>
      <c r="B65" s="2002"/>
      <c r="C65" s="2002"/>
      <c r="D65" s="712"/>
      <c r="K65" s="1523"/>
      <c r="L65" s="2002"/>
      <c r="M65" s="2002"/>
      <c r="N65" s="1523"/>
      <c r="O65" s="1523"/>
      <c r="P65" s="1523"/>
      <c r="Q65" s="1523"/>
      <c r="R65" s="2002"/>
      <c r="S65" s="1523"/>
      <c r="T65" s="1523"/>
      <c r="U65" s="905"/>
      <c r="V65" s="1523"/>
      <c r="W65" s="1523"/>
      <c r="X65" s="1523"/>
      <c r="Y65" s="1523"/>
      <c r="Z65" s="1523"/>
      <c r="AA65" s="1998"/>
      <c r="AB65" s="927"/>
      <c r="AC65" s="927"/>
      <c r="AD65" s="927"/>
      <c r="AE65" s="927"/>
    </row>
    <row s="32338" customFormat="1" customHeight="1" ht="11.25">
      <c r="A66" s="1349"/>
      <c r="B66" s="2002"/>
      <c r="C66" s="2002"/>
      <c r="D66" s="712"/>
      <c r="K66" s="1523"/>
      <c r="L66" s="2002"/>
      <c r="M66" s="2002"/>
      <c r="N66" s="1523"/>
      <c r="O66" s="1523"/>
      <c r="P66" s="1523"/>
      <c r="Q66" s="1523"/>
      <c r="R66" s="2002"/>
      <c r="S66" s="1523"/>
      <c r="T66" s="1523"/>
      <c r="U66" s="905"/>
      <c r="V66" s="1523"/>
      <c r="W66" s="1523"/>
      <c r="X66" s="1523"/>
      <c r="Y66" s="1523"/>
      <c r="Z66" s="1523"/>
      <c r="AA66" s="1998"/>
      <c r="AB66" s="927"/>
      <c r="AC66" s="927"/>
      <c r="AD66" s="927"/>
      <c r="AE66" s="927"/>
    </row>
    <row s="32338" customFormat="1" customHeight="1" ht="11.25">
      <c r="A67" s="1349"/>
      <c r="B67" s="2002"/>
      <c r="C67" s="2002"/>
      <c r="D67" s="712"/>
      <c r="K67" s="1523"/>
      <c r="L67" s="2002"/>
      <c r="M67" s="2002"/>
      <c r="N67" s="1523"/>
      <c r="O67" s="1523"/>
      <c r="P67" s="1523"/>
      <c r="Q67" s="1523"/>
      <c r="R67" s="2002"/>
      <c r="S67" s="1523"/>
      <c r="T67" s="1523"/>
      <c r="U67" s="905"/>
      <c r="V67" s="1523"/>
      <c r="W67" s="1523"/>
      <c r="X67" s="1523"/>
      <c r="Y67" s="1523"/>
      <c r="Z67" s="1523"/>
      <c r="AA67" s="1998"/>
      <c r="AB67" s="927"/>
      <c r="AC67" s="927"/>
      <c r="AD67" s="927"/>
      <c r="AE67" s="927"/>
    </row>
    <row s="32338" customFormat="1" customHeight="1" ht="11.25">
      <c r="A68" s="1349"/>
      <c r="B68" s="2002"/>
      <c r="C68" s="2002"/>
      <c r="D68" s="712"/>
      <c r="K68" s="1523"/>
      <c r="L68" s="2002"/>
      <c r="M68" s="2002"/>
      <c r="N68" s="1523"/>
      <c r="O68" s="1523"/>
      <c r="P68" s="1523"/>
      <c r="Q68" s="1523"/>
      <c r="R68" s="2002"/>
      <c r="S68" s="1523"/>
      <c r="T68" s="1523"/>
      <c r="U68" s="905"/>
      <c r="V68" s="1523"/>
      <c r="W68" s="1523"/>
      <c r="X68" s="1523"/>
      <c r="Y68" s="1523"/>
      <c r="Z68" s="1523"/>
      <c r="AA68" s="1998"/>
      <c r="AB68" s="927"/>
      <c r="AC68" s="927"/>
      <c r="AD68" s="927"/>
      <c r="AE68" s="927"/>
    </row>
    <row s="32338" customFormat="1" customHeight="1" ht="11.25">
      <c r="A69" s="1349"/>
      <c r="B69" s="2002"/>
      <c r="C69" s="2002"/>
      <c r="D69" s="712"/>
      <c r="K69" s="1523"/>
      <c r="L69" s="2002"/>
      <c r="M69" s="2002"/>
      <c r="N69" s="1523"/>
      <c r="O69" s="1523"/>
      <c r="P69" s="1523"/>
      <c r="Q69" s="1523"/>
      <c r="R69" s="2002"/>
      <c r="S69" s="1523"/>
      <c r="T69" s="1523"/>
      <c r="U69" s="905"/>
      <c r="V69" s="1523"/>
      <c r="W69" s="1523"/>
      <c r="X69" s="1523"/>
      <c r="Y69" s="1523"/>
      <c r="Z69" s="1523"/>
      <c r="AA69" s="1998"/>
      <c r="AB69" s="927"/>
      <c r="AC69" s="927"/>
      <c r="AD69" s="927"/>
      <c r="AE69" s="927"/>
    </row>
    <row s="32338" customFormat="1" customHeight="1" ht="11.25">
      <c r="A70" s="1349"/>
      <c r="B70" s="2002"/>
      <c r="C70" s="2002"/>
      <c r="D70" s="712"/>
      <c r="K70" s="1523"/>
      <c r="L70" s="2002"/>
      <c r="M70" s="2002"/>
      <c r="N70" s="1523"/>
      <c r="O70" s="1523"/>
      <c r="P70" s="1523"/>
      <c r="Q70" s="1523"/>
      <c r="R70" s="2002"/>
      <c r="S70" s="1523"/>
      <c r="T70" s="1523"/>
      <c r="U70" s="905"/>
      <c r="V70" s="1523"/>
      <c r="W70" s="1523"/>
      <c r="X70" s="1523"/>
      <c r="Y70" s="1523"/>
      <c r="Z70" s="1523"/>
      <c r="AA70" s="1998"/>
      <c r="AB70" s="927"/>
      <c r="AC70" s="927"/>
      <c r="AD70" s="927"/>
      <c r="AE70" s="927"/>
    </row>
    <row s="32338" customFormat="1" customHeight="1" ht="11.25">
      <c r="A71" s="1349"/>
      <c r="B71" s="2002"/>
      <c r="C71" s="2002"/>
      <c r="D71" s="712"/>
      <c r="K71" s="1523"/>
      <c r="L71" s="2002"/>
      <c r="M71" s="2002"/>
      <c r="N71" s="1523"/>
      <c r="O71" s="1523"/>
      <c r="P71" s="1523"/>
      <c r="Q71" s="1523"/>
      <c r="R71" s="2002"/>
      <c r="S71" s="1523"/>
      <c r="T71" s="1523"/>
      <c r="U71" s="905"/>
      <c r="V71" s="1523"/>
      <c r="W71" s="1523"/>
      <c r="X71" s="1523"/>
      <c r="Y71" s="1523"/>
      <c r="Z71" s="1523"/>
      <c r="AA71" s="1998"/>
      <c r="AB71" s="927"/>
      <c r="AC71" s="927"/>
      <c r="AD71" s="927"/>
      <c r="AE71" s="927"/>
    </row>
    <row s="32338" customFormat="1" customHeight="1" ht="11.25">
      <c r="A72" s="1349"/>
      <c r="B72" s="2002"/>
      <c r="C72" s="2002"/>
      <c r="D72" s="712"/>
      <c r="K72" s="1523"/>
      <c r="L72" s="2002"/>
      <c r="M72" s="2002"/>
      <c r="N72" s="1523"/>
      <c r="O72" s="1523"/>
      <c r="P72" s="1523"/>
      <c r="Q72" s="1523"/>
      <c r="R72" s="2002"/>
      <c r="S72" s="1523"/>
      <c r="T72" s="1523"/>
      <c r="U72" s="905"/>
      <c r="V72" s="1523"/>
      <c r="W72" s="1523"/>
      <c r="X72" s="1523"/>
      <c r="Y72" s="1523"/>
      <c r="Z72" s="1523"/>
      <c r="AA72" s="1998"/>
      <c r="AB72" s="927"/>
      <c r="AC72" s="927"/>
      <c r="AD72" s="927"/>
      <c r="AE72" s="927"/>
    </row>
    <row s="32338" customFormat="1" customHeight="1" ht="11.25">
      <c r="A73" s="1349"/>
      <c r="B73" s="2002"/>
      <c r="C73" s="2002"/>
      <c r="D73" s="712"/>
      <c r="K73" s="1523"/>
      <c r="L73" s="2002"/>
      <c r="M73" s="2002"/>
      <c r="N73" s="1523"/>
      <c r="O73" s="1523"/>
      <c r="P73" s="1523"/>
      <c r="Q73" s="1523"/>
      <c r="R73" s="2002"/>
      <c r="S73" s="1523"/>
      <c r="T73" s="1523"/>
      <c r="U73" s="905"/>
      <c r="V73" s="1523"/>
      <c r="W73" s="1523"/>
      <c r="X73" s="1523"/>
      <c r="Y73" s="1523"/>
      <c r="Z73" s="1523"/>
      <c r="AA73" s="1998"/>
      <c r="AB73" s="927"/>
      <c r="AC73" s="927"/>
      <c r="AD73" s="927"/>
      <c r="AE73" s="927"/>
    </row>
    <row s="32338" customFormat="1" customHeight="1" ht="11.25">
      <c r="A74" s="1349"/>
      <c r="B74" s="2002"/>
      <c r="C74" s="2002"/>
      <c r="D74" s="712"/>
      <c r="K74" s="1523"/>
      <c r="L74" s="2002"/>
      <c r="M74" s="2002"/>
      <c r="N74" s="1523"/>
      <c r="O74" s="1523"/>
      <c r="P74" s="1523"/>
      <c r="Q74" s="1523"/>
      <c r="R74" s="2002"/>
      <c r="S74" s="1523"/>
      <c r="T74" s="1523"/>
      <c r="U74" s="905"/>
      <c r="V74" s="1523"/>
      <c r="W74" s="1523"/>
      <c r="X74" s="1523"/>
      <c r="Y74" s="1523"/>
      <c r="Z74" s="1523"/>
      <c r="AA74" s="1998"/>
      <c r="AB74" s="927"/>
      <c r="AC74" s="927"/>
      <c r="AD74" s="927"/>
      <c r="AE74" s="927"/>
    </row>
    <row s="32338" customFormat="1" customHeight="1" ht="11.25">
      <c r="A75" s="1349"/>
      <c r="B75" s="2002"/>
      <c r="C75" s="2002"/>
      <c r="D75" s="712"/>
      <c r="K75" s="1523"/>
      <c r="L75" s="2002"/>
      <c r="M75" s="2002"/>
      <c r="N75" s="1523"/>
      <c r="O75" s="1523"/>
      <c r="P75" s="1523"/>
      <c r="Q75" s="1523"/>
      <c r="R75" s="2002"/>
      <c r="S75" s="1523"/>
      <c r="T75" s="1523"/>
      <c r="U75" s="905"/>
      <c r="V75" s="1523"/>
      <c r="W75" s="1523"/>
      <c r="X75" s="1523"/>
      <c r="Y75" s="1523"/>
      <c r="Z75" s="1523"/>
      <c r="AA75" s="1998"/>
      <c r="AB75" s="927"/>
      <c r="AC75" s="927"/>
      <c r="AD75" s="927"/>
      <c r="AE75" s="927"/>
    </row>
    <row s="32338" customFormat="1" customHeight="1" ht="11.25">
      <c r="A76" s="1349"/>
      <c r="B76" s="2002"/>
      <c r="C76" s="2002"/>
      <c r="D76" s="712"/>
      <c r="K76" s="1523"/>
      <c r="L76" s="2002"/>
      <c r="M76" s="2002"/>
      <c r="N76" s="1523"/>
      <c r="O76" s="1523"/>
      <c r="P76" s="1523"/>
      <c r="Q76" s="1523"/>
      <c r="R76" s="2002"/>
      <c r="S76" s="1523"/>
      <c r="T76" s="1523"/>
      <c r="U76" s="905"/>
      <c r="V76" s="1523"/>
      <c r="W76" s="1523"/>
      <c r="X76" s="1523"/>
      <c r="Y76" s="1523"/>
      <c r="Z76" s="1523"/>
      <c r="AA76" s="1998"/>
      <c r="AB76" s="927"/>
      <c r="AC76" s="927"/>
      <c r="AD76" s="927"/>
      <c r="AE76" s="927"/>
    </row>
    <row s="32338" customFormat="1" customHeight="1" ht="11.25">
      <c r="A77" s="1349"/>
      <c r="B77" s="2002"/>
      <c r="C77" s="2002"/>
      <c r="D77" s="712"/>
      <c r="K77" s="1523"/>
      <c r="L77" s="2002"/>
      <c r="M77" s="2002"/>
      <c r="N77" s="1523"/>
      <c r="O77" s="1523"/>
      <c r="P77" s="1523"/>
      <c r="Q77" s="1523"/>
      <c r="R77" s="2002"/>
      <c r="S77" s="1523"/>
      <c r="T77" s="1523"/>
      <c r="U77" s="905"/>
      <c r="V77" s="1523"/>
      <c r="W77" s="1523"/>
      <c r="X77" s="1523"/>
      <c r="Y77" s="1523"/>
      <c r="Z77" s="1523"/>
      <c r="AA77" s="1998"/>
      <c r="AB77" s="927"/>
      <c r="AC77" s="927"/>
      <c r="AD77" s="927"/>
      <c r="AE77" s="927"/>
    </row>
    <row s="32338" customFormat="1" customHeight="1" ht="11.25">
      <c r="A78" s="1349"/>
      <c r="B78" s="2002"/>
      <c r="C78" s="2002"/>
      <c r="D78" s="712"/>
      <c r="K78" s="1523"/>
      <c r="L78" s="2002"/>
      <c r="M78" s="2002"/>
      <c r="N78" s="1523"/>
      <c r="O78" s="1523"/>
      <c r="P78" s="1523"/>
      <c r="Q78" s="1523"/>
      <c r="R78" s="2002"/>
      <c r="S78" s="1523"/>
      <c r="T78" s="1523"/>
      <c r="U78" s="905"/>
      <c r="V78" s="1523"/>
      <c r="W78" s="1523"/>
      <c r="X78" s="1523"/>
      <c r="Y78" s="1523"/>
      <c r="Z78" s="1523"/>
      <c r="AA78" s="1998"/>
      <c r="AB78" s="927"/>
      <c r="AC78" s="927"/>
      <c r="AD78" s="927"/>
      <c r="AE78" s="927"/>
    </row>
    <row s="32338" customFormat="1" customHeight="1" ht="11.25">
      <c r="A79" s="1349"/>
      <c r="B79" s="2002"/>
      <c r="C79" s="2002"/>
      <c r="D79" s="712"/>
      <c r="K79" s="1523"/>
      <c r="L79" s="2002"/>
      <c r="M79" s="2002"/>
      <c r="N79" s="1523"/>
      <c r="O79" s="1523"/>
      <c r="P79" s="1523"/>
      <c r="Q79" s="1523"/>
      <c r="R79" s="2002"/>
      <c r="S79" s="1523"/>
      <c r="T79" s="1523"/>
      <c r="U79" s="905"/>
      <c r="V79" s="1523"/>
      <c r="W79" s="1523"/>
      <c r="X79" s="1523"/>
      <c r="Y79" s="1523"/>
      <c r="Z79" s="1523"/>
      <c r="AA79" s="1998"/>
      <c r="AB79" s="927"/>
      <c r="AC79" s="927"/>
      <c r="AD79" s="927"/>
      <c r="AE79" s="927"/>
    </row>
    <row s="32338" customFormat="1" customHeight="1" ht="11.25">
      <c r="A80" s="1349"/>
      <c r="B80" s="2002"/>
      <c r="C80" s="2002"/>
      <c r="D80" s="712"/>
      <c r="K80" s="1523"/>
      <c r="L80" s="2002"/>
      <c r="M80" s="2002"/>
      <c r="N80" s="1523"/>
      <c r="O80" s="1523"/>
      <c r="P80" s="1523"/>
      <c r="Q80" s="1523"/>
      <c r="R80" s="2002"/>
      <c r="S80" s="1523"/>
      <c r="T80" s="1523"/>
      <c r="U80" s="905"/>
      <c r="V80" s="1523"/>
      <c r="W80" s="1523"/>
      <c r="X80" s="1523"/>
      <c r="Y80" s="1523"/>
      <c r="Z80" s="1523"/>
      <c r="AA80" s="1998"/>
      <c r="AB80" s="927"/>
      <c r="AC80" s="927"/>
      <c r="AD80" s="927"/>
      <c r="AE80" s="927"/>
    </row>
    <row s="32338" customFormat="1" customHeight="1" ht="11.25">
      <c r="A81" s="1349"/>
      <c r="B81" s="2002"/>
      <c r="C81" s="2002"/>
      <c r="D81" s="712"/>
      <c r="K81" s="1523"/>
      <c r="L81" s="2002"/>
      <c r="M81" s="2002"/>
      <c r="N81" s="1523"/>
      <c r="O81" s="1523"/>
      <c r="P81" s="1523"/>
      <c r="Q81" s="1523"/>
      <c r="R81" s="2002"/>
      <c r="S81" s="1523"/>
      <c r="T81" s="1523"/>
      <c r="U81" s="905"/>
      <c r="V81" s="1523"/>
      <c r="W81" s="1523"/>
      <c r="X81" s="1523"/>
      <c r="Y81" s="1523"/>
      <c r="Z81" s="1523"/>
      <c r="AA81" s="1998"/>
      <c r="AB81" s="927"/>
      <c r="AC81" s="927"/>
      <c r="AD81" s="927"/>
      <c r="AE81" s="927"/>
    </row>
    <row s="32338" customFormat="1" customHeight="1" ht="11.25">
      <c r="A82" s="1349"/>
      <c r="B82" s="2002"/>
      <c r="C82" s="2002"/>
      <c r="D82" s="712"/>
      <c r="K82" s="1523"/>
      <c r="L82" s="2002"/>
      <c r="M82" s="2002"/>
      <c r="N82" s="1523"/>
      <c r="O82" s="1523"/>
      <c r="P82" s="1523"/>
      <c r="Q82" s="1523"/>
      <c r="R82" s="2002"/>
      <c r="S82" s="1523"/>
      <c r="T82" s="1523"/>
      <c r="U82" s="905"/>
      <c r="V82" s="1523"/>
      <c r="W82" s="1523"/>
      <c r="X82" s="1523"/>
      <c r="Y82" s="1523"/>
      <c r="Z82" s="1523"/>
      <c r="AA82" s="1998"/>
      <c r="AB82" s="927"/>
      <c r="AC82" s="927"/>
      <c r="AD82" s="927"/>
      <c r="AE82" s="927"/>
    </row>
    <row s="32338" customFormat="1" customHeight="1" ht="11.25">
      <c r="A83" s="1349"/>
      <c r="B83" s="2002"/>
      <c r="C83" s="2002"/>
      <c r="D83" s="712"/>
      <c r="K83" s="1523"/>
      <c r="L83" s="2002"/>
      <c r="M83" s="2002"/>
      <c r="N83" s="1523"/>
      <c r="O83" s="1523"/>
      <c r="P83" s="1523"/>
      <c r="Q83" s="1523"/>
      <c r="R83" s="2002"/>
      <c r="S83" s="1523"/>
      <c r="T83" s="1523"/>
      <c r="U83" s="905"/>
      <c r="V83" s="1523"/>
      <c r="W83" s="1523"/>
      <c r="X83" s="1523"/>
      <c r="Y83" s="1523"/>
      <c r="Z83" s="1523"/>
      <c r="AA83" s="1998"/>
      <c r="AB83" s="927"/>
      <c r="AC83" s="927"/>
      <c r="AD83" s="927"/>
      <c r="AE83" s="927"/>
    </row>
    <row s="32338" customFormat="1" customHeight="1" ht="11.25">
      <c r="A84" s="1349"/>
      <c r="B84" s="2002"/>
      <c r="C84" s="2002"/>
      <c r="D84" s="712"/>
      <c r="K84" s="1523"/>
      <c r="L84" s="2002"/>
      <c r="M84" s="2002"/>
      <c r="N84" s="1523"/>
      <c r="O84" s="1523"/>
      <c r="P84" s="1523"/>
      <c r="Q84" s="1523"/>
      <c r="R84" s="2002"/>
      <c r="S84" s="1523"/>
      <c r="T84" s="1523"/>
      <c r="U84" s="905"/>
      <c r="V84" s="1523"/>
      <c r="W84" s="1523"/>
      <c r="X84" s="1523"/>
      <c r="Y84" s="1523"/>
      <c r="Z84" s="1523"/>
      <c r="AA84" s="1998"/>
      <c r="AB84" s="927"/>
      <c r="AC84" s="927"/>
      <c r="AD84" s="927"/>
      <c r="AE84" s="927"/>
    </row>
    <row s="32338" customFormat="1" customHeight="1" ht="11.25">
      <c r="A85" s="1349"/>
      <c r="B85" s="2002"/>
      <c r="C85" s="2002"/>
      <c r="D85" s="712"/>
      <c r="K85" s="1523"/>
      <c r="L85" s="2002"/>
      <c r="M85" s="2002"/>
      <c r="N85" s="1523"/>
      <c r="O85" s="1523"/>
      <c r="P85" s="1523"/>
      <c r="Q85" s="1523"/>
      <c r="R85" s="2002"/>
      <c r="S85" s="1523"/>
      <c r="T85" s="1523"/>
      <c r="U85" s="905"/>
      <c r="V85" s="1523"/>
      <c r="W85" s="1523"/>
      <c r="X85" s="1523"/>
      <c r="Y85" s="1523"/>
      <c r="Z85" s="1523"/>
      <c r="AA85" s="1998"/>
      <c r="AB85" s="927"/>
      <c r="AC85" s="927"/>
      <c r="AD85" s="927"/>
      <c r="AE85" s="927"/>
    </row>
    <row s="32338" customFormat="1" customHeight="1" ht="11.25">
      <c r="A86" s="1349"/>
      <c r="B86" s="2002"/>
      <c r="C86" s="2002"/>
      <c r="D86" s="712"/>
      <c r="K86" s="1523"/>
      <c r="L86" s="2002"/>
      <c r="M86" s="2002"/>
      <c r="N86" s="1523"/>
      <c r="O86" s="1523"/>
      <c r="P86" s="1523"/>
      <c r="Q86" s="1523"/>
      <c r="R86" s="2002"/>
      <c r="S86" s="1523"/>
      <c r="T86" s="1523"/>
      <c r="U86" s="905"/>
      <c r="V86" s="1523"/>
      <c r="W86" s="1523"/>
      <c r="X86" s="1523"/>
      <c r="Y86" s="1523"/>
      <c r="Z86" s="1523"/>
      <c r="AA86" s="1998"/>
      <c r="AB86" s="927"/>
      <c r="AC86" s="927"/>
      <c r="AD86" s="927"/>
      <c r="AE86" s="927"/>
    </row>
    <row s="32338" customFormat="1" customHeight="1" ht="11.25">
      <c r="A87" s="1349"/>
      <c r="B87" s="2002"/>
      <c r="C87" s="2002"/>
      <c r="D87" s="712"/>
      <c r="K87" s="1523"/>
      <c r="L87" s="2002"/>
      <c r="M87" s="2002"/>
      <c r="N87" s="1523"/>
      <c r="O87" s="1523"/>
      <c r="P87" s="1523"/>
      <c r="Q87" s="1523"/>
      <c r="R87" s="2002"/>
      <c r="S87" s="1523"/>
      <c r="T87" s="1523"/>
      <c r="U87" s="905"/>
      <c r="V87" s="1523"/>
      <c r="W87" s="1523"/>
      <c r="X87" s="1523"/>
      <c r="Y87" s="1523"/>
      <c r="Z87" s="1523"/>
      <c r="AA87" s="1998"/>
      <c r="AB87" s="927"/>
      <c r="AC87" s="927"/>
      <c r="AD87" s="927"/>
      <c r="AE87" s="927"/>
    </row>
    <row s="32338" customFormat="1" customHeight="1" ht="11.25">
      <c r="A88" s="1349"/>
      <c r="B88" s="2002"/>
      <c r="C88" s="2002"/>
      <c r="D88" s="712"/>
      <c r="K88" s="1523"/>
      <c r="L88" s="2002"/>
      <c r="M88" s="2002"/>
      <c r="N88" s="1523"/>
      <c r="O88" s="1523"/>
      <c r="P88" s="1523"/>
      <c r="Q88" s="1523"/>
      <c r="R88" s="2002"/>
      <c r="S88" s="1523"/>
      <c r="T88" s="1523"/>
      <c r="U88" s="905"/>
      <c r="V88" s="1523"/>
      <c r="W88" s="1523"/>
      <c r="X88" s="1523"/>
      <c r="Y88" s="1523"/>
      <c r="Z88" s="1523"/>
      <c r="AA88" s="1998"/>
      <c r="AB88" s="927"/>
      <c r="AC88" s="927"/>
      <c r="AD88" s="927"/>
      <c r="AE88" s="927"/>
    </row>
    <row s="32338" customFormat="1" customHeight="1" ht="11.25">
      <c r="A89" s="1349"/>
      <c r="B89" s="2002"/>
      <c r="C89" s="2002"/>
      <c r="D89" s="712"/>
      <c r="K89" s="1523"/>
      <c r="L89" s="2002"/>
      <c r="M89" s="2002"/>
      <c r="N89" s="1523"/>
      <c r="O89" s="1523"/>
      <c r="P89" s="1523"/>
      <c r="Q89" s="1523"/>
      <c r="R89" s="2002"/>
      <c r="S89" s="1523"/>
      <c r="T89" s="1523"/>
      <c r="U89" s="905"/>
      <c r="V89" s="1523"/>
      <c r="W89" s="1523"/>
      <c r="X89" s="1523"/>
      <c r="Y89" s="1523"/>
      <c r="Z89" s="1523"/>
      <c r="AA89" s="1998"/>
      <c r="AB89" s="927"/>
      <c r="AC89" s="927"/>
      <c r="AD89" s="927"/>
      <c r="AE89" s="927"/>
    </row>
    <row s="32338" customFormat="1" customHeight="1" ht="11.25">
      <c r="A90" s="1349"/>
      <c r="B90" s="2002"/>
      <c r="C90" s="2002"/>
      <c r="D90" s="712"/>
      <c r="K90" s="1523"/>
      <c r="L90" s="2002"/>
      <c r="M90" s="2002"/>
      <c r="N90" s="1523"/>
      <c r="O90" s="1523"/>
      <c r="P90" s="1523"/>
      <c r="Q90" s="1523"/>
      <c r="R90" s="2002"/>
      <c r="S90" s="1523"/>
      <c r="T90" s="1523"/>
      <c r="U90" s="905"/>
      <c r="V90" s="1523"/>
      <c r="W90" s="1523"/>
      <c r="X90" s="1523"/>
      <c r="Y90" s="1523"/>
      <c r="Z90" s="1523"/>
      <c r="AA90" s="1998"/>
      <c r="AB90" s="927"/>
      <c r="AC90" s="927"/>
      <c r="AD90" s="927"/>
      <c r="AE90" s="927"/>
    </row>
    <row s="32338" customFormat="1" customHeight="1" ht="11.25">
      <c r="A91" s="1349"/>
      <c r="B91" s="2002"/>
      <c r="C91" s="2002"/>
      <c r="D91" s="712"/>
      <c r="K91" s="1523"/>
      <c r="L91" s="2002"/>
      <c r="M91" s="2002"/>
      <c r="N91" s="1523"/>
      <c r="O91" s="1523"/>
      <c r="P91" s="1523"/>
      <c r="Q91" s="1523"/>
      <c r="R91" s="2002"/>
      <c r="S91" s="1523"/>
      <c r="T91" s="1523"/>
      <c r="U91" s="905"/>
      <c r="V91" s="1523"/>
      <c r="W91" s="1523"/>
      <c r="X91" s="1523"/>
      <c r="Y91" s="1523"/>
      <c r="Z91" s="1523"/>
      <c r="AA91" s="1998"/>
      <c r="AB91" s="927"/>
      <c r="AC91" s="927"/>
      <c r="AD91" s="927"/>
      <c r="AE91" s="927"/>
    </row>
    <row s="32338" customFormat="1" customHeight="1" ht="11.25">
      <c r="A92" s="1349"/>
      <c r="B92" s="2002"/>
      <c r="C92" s="2002"/>
      <c r="D92" s="712"/>
      <c r="K92" s="1523"/>
      <c r="L92" s="2002"/>
      <c r="M92" s="2002"/>
      <c r="N92" s="1523"/>
      <c r="O92" s="1523"/>
      <c r="P92" s="1523"/>
      <c r="Q92" s="1523"/>
      <c r="R92" s="2002"/>
      <c r="S92" s="1523"/>
      <c r="T92" s="1523"/>
      <c r="U92" s="905"/>
      <c r="V92" s="1523"/>
      <c r="W92" s="1523"/>
      <c r="X92" s="1523"/>
      <c r="Y92" s="1523"/>
      <c r="Z92" s="1523"/>
      <c r="AA92" s="1998"/>
      <c r="AB92" s="927"/>
      <c r="AC92" s="927"/>
      <c r="AD92" s="927"/>
      <c r="AE92" s="927"/>
    </row>
    <row s="32338" customFormat="1" customHeight="1" ht="11.25">
      <c r="A93" s="1349"/>
      <c r="B93" s="2002"/>
      <c r="C93" s="2002"/>
      <c r="D93" s="712"/>
      <c r="K93" s="1523"/>
      <c r="L93" s="2002"/>
      <c r="M93" s="2002"/>
      <c r="N93" s="1523"/>
      <c r="O93" s="1523"/>
      <c r="P93" s="1523"/>
      <c r="Q93" s="1523"/>
      <c r="R93" s="2002"/>
      <c r="S93" s="1523"/>
      <c r="T93" s="1523"/>
      <c r="U93" s="905"/>
      <c r="V93" s="1523"/>
      <c r="W93" s="1523"/>
      <c r="X93" s="1523"/>
      <c r="Y93" s="1523"/>
      <c r="Z93" s="1523"/>
      <c r="AA93" s="1998"/>
      <c r="AB93" s="927"/>
      <c r="AC93" s="927"/>
      <c r="AD93" s="927"/>
      <c r="AE93" s="927"/>
    </row>
    <row s="32338" customFormat="1" customHeight="1" ht="11.25">
      <c r="A94" s="1349"/>
      <c r="B94" s="2002"/>
      <c r="C94" s="2002"/>
      <c r="D94" s="712"/>
      <c r="K94" s="1523"/>
      <c r="L94" s="2002"/>
      <c r="M94" s="2002"/>
      <c r="N94" s="1523"/>
      <c r="O94" s="1523"/>
      <c r="P94" s="1523"/>
      <c r="Q94" s="1523"/>
      <c r="R94" s="2002"/>
      <c r="S94" s="1523"/>
      <c r="T94" s="1523"/>
      <c r="U94" s="905"/>
      <c r="V94" s="1523"/>
      <c r="W94" s="1523"/>
      <c r="X94" s="1523"/>
      <c r="Y94" s="1523"/>
      <c r="Z94" s="1523"/>
      <c r="AA94" s="1998"/>
      <c r="AB94" s="927"/>
      <c r="AC94" s="927"/>
      <c r="AD94" s="927"/>
      <c r="AE94" s="927"/>
    </row>
    <row s="32338" customFormat="1" customHeight="1" ht="11.25">
      <c r="A95" s="1349"/>
      <c r="B95" s="2002"/>
      <c r="C95" s="2002"/>
      <c r="D95" s="712"/>
      <c r="K95" s="1523"/>
      <c r="L95" s="2002"/>
      <c r="M95" s="2002"/>
      <c r="N95" s="1523"/>
      <c r="O95" s="1523"/>
      <c r="P95" s="1523"/>
      <c r="Q95" s="1523"/>
      <c r="R95" s="2002"/>
      <c r="S95" s="1523"/>
      <c r="T95" s="1523"/>
      <c r="U95" s="905"/>
      <c r="V95" s="1523"/>
      <c r="W95" s="1523"/>
      <c r="X95" s="1523"/>
      <c r="Y95" s="1523"/>
      <c r="Z95" s="1523"/>
      <c r="AA95" s="1998"/>
      <c r="AB95" s="927"/>
      <c r="AC95" s="927"/>
      <c r="AD95" s="927"/>
      <c r="AE95" s="927"/>
    </row>
    <row s="32338" customFormat="1" customHeight="1" ht="11.25">
      <c r="A96" s="1349"/>
      <c r="B96" s="2002"/>
      <c r="C96" s="2002"/>
      <c r="D96" s="712"/>
      <c r="K96" s="1523"/>
      <c r="L96" s="2002"/>
      <c r="M96" s="2002"/>
      <c r="N96" s="1523"/>
      <c r="O96" s="1523"/>
      <c r="P96" s="1523"/>
      <c r="Q96" s="1523"/>
      <c r="R96" s="2002"/>
      <c r="S96" s="1523"/>
      <c r="T96" s="1523"/>
      <c r="U96" s="905"/>
      <c r="V96" s="1523"/>
      <c r="W96" s="1523"/>
      <c r="X96" s="1523"/>
      <c r="Y96" s="1523"/>
      <c r="Z96" s="1523"/>
      <c r="AA96" s="1998"/>
      <c r="AB96" s="927"/>
      <c r="AC96" s="927"/>
      <c r="AD96" s="927"/>
      <c r="AE96" s="927"/>
    </row>
    <row s="32338" customFormat="1" customHeight="1" ht="11.25">
      <c r="A97" s="1349"/>
      <c r="B97" s="2002"/>
      <c r="C97" s="2002"/>
      <c r="D97" s="712"/>
      <c r="K97" s="1523"/>
      <c r="L97" s="2002"/>
      <c r="M97" s="2002"/>
      <c r="N97" s="1523"/>
      <c r="O97" s="1523"/>
      <c r="P97" s="1523"/>
      <c r="Q97" s="1523"/>
      <c r="R97" s="2002"/>
      <c r="S97" s="1523"/>
      <c r="T97" s="1523"/>
      <c r="U97" s="905"/>
      <c r="V97" s="1523"/>
      <c r="W97" s="1523"/>
      <c r="X97" s="1523"/>
      <c r="Y97" s="1523"/>
      <c r="Z97" s="1523"/>
      <c r="AA97" s="1998"/>
      <c r="AB97" s="927"/>
      <c r="AC97" s="927"/>
      <c r="AD97" s="927"/>
      <c r="AE97" s="927"/>
    </row>
    <row s="32338" customFormat="1" customHeight="1" ht="11.25">
      <c r="A98" s="1349"/>
      <c r="B98" s="2002"/>
      <c r="C98" s="2002"/>
      <c r="D98" s="712"/>
      <c r="K98" s="1523"/>
      <c r="L98" s="2002"/>
      <c r="M98" s="2002"/>
      <c r="N98" s="1523"/>
      <c r="O98" s="1523"/>
      <c r="P98" s="1523"/>
      <c r="Q98" s="1523"/>
      <c r="R98" s="2002"/>
      <c r="S98" s="1523"/>
      <c r="T98" s="1523"/>
      <c r="U98" s="905"/>
      <c r="V98" s="1523"/>
      <c r="W98" s="1523"/>
      <c r="X98" s="1523"/>
      <c r="Y98" s="1523"/>
      <c r="Z98" s="1523"/>
      <c r="AA98" s="1998"/>
      <c r="AB98" s="927"/>
      <c r="AC98" s="927"/>
      <c r="AD98" s="927"/>
      <c r="AE98" s="927"/>
    </row>
    <row s="32338" customFormat="1" customHeight="1" ht="11.25">
      <c r="A99" s="1349"/>
      <c r="B99" s="2002"/>
      <c r="C99" s="2002"/>
      <c r="D99" s="712"/>
      <c r="K99" s="1523"/>
      <c r="L99" s="2002"/>
      <c r="M99" s="2002"/>
      <c r="N99" s="1523"/>
      <c r="O99" s="1523"/>
      <c r="P99" s="1523"/>
      <c r="Q99" s="1523"/>
      <c r="R99" s="2002"/>
      <c r="S99" s="1523"/>
      <c r="T99" s="1523"/>
      <c r="U99" s="905"/>
      <c r="V99" s="1523"/>
      <c r="W99" s="1523"/>
      <c r="X99" s="1523"/>
      <c r="Y99" s="1523"/>
      <c r="Z99" s="1523"/>
      <c r="AA99" s="1998"/>
      <c r="AB99" s="927"/>
      <c r="AC99" s="927"/>
      <c r="AD99" s="927"/>
      <c r="AE99" s="927"/>
    </row>
    <row s="32338" customFormat="1" customHeight="1" ht="11.25">
      <c r="A100" s="1349"/>
      <c r="B100" s="2002"/>
      <c r="C100" s="2002"/>
      <c r="D100" s="712"/>
      <c r="K100" s="1523"/>
      <c r="L100" s="2002"/>
      <c r="M100" s="2002"/>
      <c r="N100" s="1523"/>
      <c r="O100" s="1523"/>
      <c r="P100" s="1523"/>
      <c r="Q100" s="1523"/>
      <c r="R100" s="2002"/>
      <c r="S100" s="1523"/>
      <c r="T100" s="1523"/>
      <c r="U100" s="905"/>
      <c r="V100" s="1523"/>
      <c r="W100" s="1523"/>
      <c r="X100" s="1523"/>
      <c r="Y100" s="1523"/>
      <c r="Z100" s="1523"/>
      <c r="AA100" s="1998"/>
      <c r="AB100" s="927"/>
      <c r="AC100" s="927"/>
      <c r="AD100" s="927"/>
      <c r="AE100" s="927"/>
    </row>
    <row s="32338" customFormat="1" customHeight="1" ht="11.25">
      <c r="A101" s="1349"/>
      <c r="B101" s="2002"/>
      <c r="C101" s="2002"/>
      <c r="D101" s="712"/>
      <c r="K101" s="1523"/>
      <c r="L101" s="2002"/>
      <c r="M101" s="2002"/>
      <c r="N101" s="1523"/>
      <c r="O101" s="1523"/>
      <c r="P101" s="1523"/>
      <c r="Q101" s="1523"/>
      <c r="R101" s="2002"/>
      <c r="S101" s="1523"/>
      <c r="T101" s="1523"/>
      <c r="U101" s="905"/>
      <c r="V101" s="1523"/>
      <c r="W101" s="1523"/>
      <c r="X101" s="1523"/>
      <c r="Y101" s="1523"/>
      <c r="Z101" s="1523"/>
      <c r="AA101" s="1998"/>
      <c r="AB101" s="927"/>
      <c r="AC101" s="927"/>
      <c r="AD101" s="927"/>
      <c r="AE101" s="927"/>
    </row>
    <row s="32338" customFormat="1" customHeight="1" ht="11.25">
      <c r="A102" s="1349"/>
      <c r="B102" s="2002"/>
      <c r="C102" s="2002"/>
      <c r="D102" s="712"/>
      <c r="K102" s="1523"/>
      <c r="L102" s="2002"/>
      <c r="M102" s="2002"/>
      <c r="N102" s="1523"/>
      <c r="O102" s="1523"/>
      <c r="P102" s="1523"/>
      <c r="Q102" s="1523"/>
      <c r="R102" s="2002"/>
      <c r="S102" s="1523"/>
      <c r="T102" s="1523"/>
      <c r="U102" s="905"/>
      <c r="V102" s="1523"/>
      <c r="W102" s="1523"/>
      <c r="X102" s="1523"/>
      <c r="Y102" s="1523"/>
      <c r="Z102" s="1523"/>
      <c r="AA102" s="1998"/>
      <c r="AB102" s="927"/>
      <c r="AC102" s="927"/>
      <c r="AD102" s="927"/>
      <c r="AE102" s="927"/>
    </row>
    <row s="32338" customFormat="1" customHeight="1" ht="11.25">
      <c r="A103" s="1349"/>
      <c r="B103" s="2002"/>
      <c r="C103" s="2002"/>
      <c r="D103" s="712"/>
      <c r="K103" s="1523"/>
      <c r="L103" s="2002"/>
      <c r="M103" s="2002"/>
      <c r="N103" s="1523"/>
      <c r="O103" s="1523"/>
      <c r="P103" s="1523"/>
      <c r="Q103" s="1523"/>
      <c r="R103" s="2002"/>
      <c r="S103" s="1523"/>
      <c r="T103" s="1523"/>
      <c r="U103" s="905"/>
      <c r="V103" s="1523"/>
      <c r="W103" s="1523"/>
      <c r="X103" s="1523"/>
      <c r="Y103" s="1523"/>
      <c r="Z103" s="1523"/>
      <c r="AA103" s="1998"/>
      <c r="AB103" s="927"/>
      <c r="AC103" s="927"/>
      <c r="AD103" s="927"/>
      <c r="AE103" s="927"/>
    </row>
    <row s="32338" customFormat="1" customHeight="1" ht="11.25">
      <c r="A104" s="1349"/>
      <c r="B104" s="2002"/>
      <c r="C104" s="2002"/>
      <c r="D104" s="712"/>
      <c r="K104" s="1523"/>
      <c r="L104" s="2002"/>
      <c r="M104" s="2002"/>
      <c r="N104" s="1523"/>
      <c r="O104" s="1523"/>
      <c r="P104" s="1523"/>
      <c r="Q104" s="1523"/>
      <c r="R104" s="2002"/>
      <c r="S104" s="1523"/>
      <c r="T104" s="1523"/>
      <c r="U104" s="905"/>
      <c r="V104" s="1523"/>
      <c r="W104" s="1523"/>
      <c r="X104" s="1523"/>
      <c r="Y104" s="1523"/>
      <c r="Z104" s="1523"/>
      <c r="AA104" s="1998"/>
      <c r="AB104" s="927"/>
      <c r="AC104" s="927"/>
      <c r="AD104" s="927"/>
      <c r="AE104" s="927"/>
    </row>
    <row s="32338" customFormat="1" customHeight="1" ht="11.25">
      <c r="A105" s="1349"/>
      <c r="B105" s="2002"/>
      <c r="C105" s="2002"/>
      <c r="D105" s="712"/>
      <c r="K105" s="1523"/>
      <c r="L105" s="2002"/>
      <c r="M105" s="2002"/>
      <c r="N105" s="1523"/>
      <c r="O105" s="1523"/>
      <c r="P105" s="1523"/>
      <c r="Q105" s="1523"/>
      <c r="R105" s="2002"/>
      <c r="S105" s="1523"/>
      <c r="T105" s="1523"/>
      <c r="U105" s="905"/>
      <c r="V105" s="1523"/>
      <c r="W105" s="1523"/>
      <c r="X105" s="1523"/>
      <c r="Y105" s="1523"/>
      <c r="Z105" s="1523"/>
      <c r="AA105" s="1998"/>
      <c r="AB105" s="927"/>
      <c r="AC105" s="927"/>
      <c r="AD105" s="927"/>
      <c r="AE105" s="927"/>
    </row>
    <row s="32338" customFormat="1" customHeight="1" ht="11.25">
      <c r="A106" s="1349"/>
      <c r="B106" s="2002"/>
      <c r="C106" s="2002"/>
      <c r="D106" s="712"/>
      <c r="K106" s="1523"/>
      <c r="L106" s="2002"/>
      <c r="M106" s="2002"/>
      <c r="N106" s="1523"/>
      <c r="O106" s="1523"/>
      <c r="P106" s="1523"/>
      <c r="Q106" s="1523"/>
      <c r="R106" s="2002"/>
      <c r="S106" s="1523"/>
      <c r="T106" s="1523"/>
      <c r="U106" s="905"/>
      <c r="V106" s="1523"/>
      <c r="W106" s="1523"/>
      <c r="X106" s="1523"/>
      <c r="Y106" s="1523"/>
      <c r="Z106" s="1523"/>
      <c r="AA106" s="1998"/>
      <c r="AB106" s="927"/>
      <c r="AC106" s="927"/>
      <c r="AD106" s="927"/>
      <c r="AE106" s="927"/>
    </row>
    <row s="32338" customFormat="1" customHeight="1" ht="11.25">
      <c r="A107" s="1349"/>
      <c r="B107" s="2002"/>
      <c r="C107" s="2002"/>
      <c r="D107" s="712"/>
      <c r="K107" s="1523"/>
      <c r="L107" s="2002"/>
      <c r="M107" s="2002"/>
      <c r="N107" s="1523"/>
      <c r="O107" s="1523"/>
      <c r="P107" s="1523"/>
      <c r="Q107" s="1523"/>
      <c r="R107" s="2002"/>
      <c r="S107" s="1523"/>
      <c r="T107" s="1523"/>
      <c r="U107" s="905"/>
      <c r="V107" s="1523"/>
      <c r="W107" s="1523"/>
      <c r="X107" s="1523"/>
      <c r="Y107" s="1523"/>
      <c r="Z107" s="1523"/>
      <c r="AA107" s="1998"/>
      <c r="AB107" s="927"/>
      <c r="AC107" s="927"/>
      <c r="AD107" s="927"/>
      <c r="AE107" s="927"/>
    </row>
    <row s="32338" customFormat="1" customHeight="1" ht="11.25">
      <c r="A108" s="1349"/>
      <c r="B108" s="2002"/>
      <c r="C108" s="2002"/>
      <c r="D108" s="712"/>
      <c r="K108" s="1523"/>
      <c r="L108" s="2002"/>
      <c r="M108" s="2002"/>
      <c r="N108" s="1523"/>
      <c r="O108" s="1523"/>
      <c r="P108" s="1523"/>
      <c r="Q108" s="1523"/>
      <c r="R108" s="2002"/>
      <c r="S108" s="1523"/>
      <c r="T108" s="1523"/>
      <c r="U108" s="905"/>
      <c r="V108" s="1523"/>
      <c r="W108" s="1523"/>
      <c r="X108" s="1523"/>
      <c r="Y108" s="1523"/>
      <c r="Z108" s="1523"/>
      <c r="AA108" s="1998"/>
      <c r="AB108" s="927"/>
      <c r="AC108" s="927"/>
      <c r="AD108" s="927"/>
      <c r="AE108" s="927"/>
    </row>
    <row s="32338" customFormat="1" customHeight="1" ht="11.25">
      <c r="A109" s="1349"/>
      <c r="B109" s="2002"/>
      <c r="C109" s="2002"/>
      <c r="D109" s="712"/>
      <c r="K109" s="1523"/>
      <c r="L109" s="2002"/>
      <c r="M109" s="2002"/>
      <c r="N109" s="1523"/>
      <c r="O109" s="1523"/>
      <c r="P109" s="1523"/>
      <c r="Q109" s="1523"/>
      <c r="R109" s="2002"/>
      <c r="S109" s="1523"/>
      <c r="T109" s="1523"/>
      <c r="U109" s="905"/>
      <c r="V109" s="1523"/>
      <c r="W109" s="1523"/>
      <c r="X109" s="1523"/>
      <c r="Y109" s="1523"/>
      <c r="Z109" s="1523"/>
      <c r="AA109" s="1998"/>
      <c r="AB109" s="927"/>
      <c r="AC109" s="927"/>
      <c r="AD109" s="927"/>
      <c r="AE109" s="927"/>
    </row>
    <row s="32338" customFormat="1" customHeight="1" ht="11.25">
      <c r="A110" s="1349"/>
      <c r="B110" s="2002"/>
      <c r="C110" s="2002"/>
      <c r="D110" s="712"/>
      <c r="K110" s="1523"/>
      <c r="L110" s="2002"/>
      <c r="M110" s="2002"/>
      <c r="N110" s="1523"/>
      <c r="O110" s="1523"/>
      <c r="P110" s="1523"/>
      <c r="Q110" s="1523"/>
      <c r="R110" s="2002"/>
      <c r="S110" s="1523"/>
      <c r="T110" s="1523"/>
      <c r="U110" s="905"/>
      <c r="V110" s="1523"/>
      <c r="W110" s="1523"/>
      <c r="X110" s="1523"/>
      <c r="Y110" s="1523"/>
      <c r="Z110" s="1523"/>
      <c r="AA110" s="1998"/>
      <c r="AB110" s="927"/>
      <c r="AC110" s="927"/>
      <c r="AD110" s="927"/>
      <c r="AE110" s="927"/>
    </row>
    <row s="32338" customFormat="1" customHeight="1" ht="11.25">
      <c r="A111" s="1349"/>
      <c r="B111" s="2002"/>
      <c r="C111" s="2002"/>
      <c r="D111" s="712"/>
      <c r="K111" s="1523"/>
      <c r="L111" s="2002"/>
      <c r="M111" s="2002"/>
      <c r="N111" s="1523"/>
      <c r="O111" s="1523"/>
      <c r="P111" s="1523"/>
      <c r="Q111" s="1523"/>
      <c r="R111" s="2002"/>
      <c r="S111" s="1523"/>
      <c r="T111" s="1523"/>
      <c r="U111" s="905"/>
      <c r="V111" s="1523"/>
      <c r="W111" s="1523"/>
      <c r="X111" s="1523"/>
      <c r="Y111" s="1523"/>
      <c r="Z111" s="1523"/>
      <c r="AA111" s="1998"/>
      <c r="AB111" s="927"/>
      <c r="AC111" s="927"/>
      <c r="AD111" s="927"/>
      <c r="AE111" s="927"/>
    </row>
    <row s="32338" customFormat="1" customHeight="1" ht="11.25">
      <c r="A112" s="1349"/>
      <c r="B112" s="2002"/>
      <c r="C112" s="2002"/>
      <c r="D112" s="712"/>
      <c r="K112" s="1523"/>
      <c r="L112" s="2002"/>
      <c r="M112" s="2002"/>
      <c r="N112" s="1523"/>
      <c r="O112" s="1523"/>
      <c r="P112" s="1523"/>
      <c r="Q112" s="1523"/>
      <c r="R112" s="2002"/>
      <c r="S112" s="1523"/>
      <c r="T112" s="1523"/>
      <c r="U112" s="905"/>
      <c r="V112" s="1523"/>
      <c r="W112" s="1523"/>
      <c r="X112" s="1523"/>
      <c r="Y112" s="1523"/>
      <c r="Z112" s="1523"/>
      <c r="AA112" s="1998"/>
      <c r="AB112" s="927"/>
      <c r="AC112" s="927"/>
      <c r="AD112" s="927"/>
      <c r="AE112" s="927"/>
    </row>
    <row s="32338" customFormat="1" customHeight="1" ht="11.25">
      <c r="A113" s="1349"/>
      <c r="B113" s="2002"/>
      <c r="C113" s="2002"/>
      <c r="D113" s="712"/>
      <c r="K113" s="1523"/>
      <c r="L113" s="2002"/>
      <c r="M113" s="2002"/>
      <c r="N113" s="1523"/>
      <c r="O113" s="1523"/>
      <c r="P113" s="1523"/>
      <c r="Q113" s="1523"/>
      <c r="R113" s="2002"/>
      <c r="S113" s="1523"/>
      <c r="T113" s="1523"/>
      <c r="U113" s="905"/>
      <c r="V113" s="1523"/>
      <c r="W113" s="1523"/>
      <c r="X113" s="1523"/>
      <c r="Y113" s="1523"/>
      <c r="Z113" s="1523"/>
      <c r="AA113" s="1998"/>
      <c r="AB113" s="927"/>
      <c r="AC113" s="927"/>
      <c r="AD113" s="927"/>
      <c r="AE113" s="927"/>
    </row>
    <row s="32338" customFormat="1" customHeight="1" ht="11.25">
      <c r="A114" s="1349"/>
      <c r="B114" s="2002"/>
      <c r="C114" s="2002"/>
      <c r="D114" s="712"/>
      <c r="K114" s="1523"/>
      <c r="L114" s="2002"/>
      <c r="M114" s="2002"/>
      <c r="N114" s="1523"/>
      <c r="O114" s="1523"/>
      <c r="P114" s="1523"/>
      <c r="Q114" s="1523"/>
      <c r="R114" s="2002"/>
      <c r="S114" s="1523"/>
      <c r="T114" s="1523"/>
      <c r="U114" s="905"/>
      <c r="V114" s="1523"/>
      <c r="W114" s="1523"/>
      <c r="X114" s="1523"/>
      <c r="Y114" s="1523"/>
      <c r="Z114" s="1523"/>
      <c r="AA114" s="1998"/>
      <c r="AB114" s="927"/>
      <c r="AC114" s="927"/>
      <c r="AD114" s="927"/>
      <c r="AE114" s="927"/>
    </row>
    <row s="32338" customFormat="1" customHeight="1" ht="11.25">
      <c r="A115" s="1349"/>
      <c r="B115" s="2002"/>
      <c r="C115" s="2002"/>
      <c r="D115" s="712"/>
      <c r="K115" s="1523"/>
      <c r="L115" s="2002"/>
      <c r="M115" s="2002"/>
      <c r="N115" s="1523"/>
      <c r="O115" s="1523"/>
      <c r="P115" s="1523"/>
      <c r="Q115" s="1523"/>
      <c r="R115" s="2002"/>
      <c r="S115" s="1523"/>
      <c r="T115" s="1523"/>
      <c r="U115" s="905"/>
      <c r="V115" s="1523"/>
      <c r="W115" s="1523"/>
      <c r="X115" s="1523"/>
      <c r="Y115" s="1523"/>
      <c r="Z115" s="1523"/>
      <c r="AA115" s="1998"/>
      <c r="AB115" s="927"/>
      <c r="AC115" s="927"/>
      <c r="AD115" s="927"/>
      <c r="AE115" s="927"/>
    </row>
    <row s="32338" customFormat="1" customHeight="1" ht="11.25">
      <c r="A116" s="1349"/>
      <c r="B116" s="2002"/>
      <c r="C116" s="2002"/>
      <c r="D116" s="712"/>
      <c r="K116" s="1523"/>
      <c r="L116" s="2002"/>
      <c r="M116" s="2002"/>
      <c r="N116" s="1523"/>
      <c r="O116" s="1523"/>
      <c r="P116" s="1523"/>
      <c r="Q116" s="1523"/>
      <c r="R116" s="2002"/>
      <c r="S116" s="1523"/>
      <c r="T116" s="1523"/>
      <c r="U116" s="905"/>
      <c r="V116" s="1523"/>
      <c r="W116" s="1523"/>
      <c r="X116" s="1523"/>
      <c r="Y116" s="1523"/>
      <c r="Z116" s="1523"/>
      <c r="AA116" s="1998"/>
      <c r="AB116" s="927"/>
      <c r="AC116" s="927"/>
      <c r="AD116" s="927"/>
      <c r="AE116" s="927"/>
    </row>
    <row s="32338" customFormat="1" customHeight="1" ht="11.25">
      <c r="A117" s="1349"/>
      <c r="B117" s="2002"/>
      <c r="C117" s="2002"/>
      <c r="D117" s="712"/>
      <c r="K117" s="1523"/>
      <c r="L117" s="2002"/>
      <c r="M117" s="2002"/>
      <c r="N117" s="1523"/>
      <c r="O117" s="1523"/>
      <c r="P117" s="1523"/>
      <c r="Q117" s="1523"/>
      <c r="R117" s="2002"/>
      <c r="S117" s="1523"/>
      <c r="T117" s="1523"/>
      <c r="U117" s="905"/>
      <c r="V117" s="1523"/>
      <c r="W117" s="1523"/>
      <c r="X117" s="1523"/>
      <c r="Y117" s="1523"/>
      <c r="Z117" s="1523"/>
      <c r="AA117" s="1998"/>
      <c r="AB117" s="927"/>
      <c r="AC117" s="927"/>
      <c r="AD117" s="927"/>
      <c r="AE117" s="927"/>
    </row>
    <row s="32338" customFormat="1" customHeight="1" ht="11.25">
      <c r="A118" s="1349"/>
      <c r="B118" s="2002"/>
      <c r="C118" s="2002"/>
      <c r="D118" s="712"/>
      <c r="K118" s="1523"/>
      <c r="L118" s="2002"/>
      <c r="M118" s="2002"/>
      <c r="N118" s="1523"/>
      <c r="O118" s="1523"/>
      <c r="P118" s="1523"/>
      <c r="Q118" s="1523"/>
      <c r="R118" s="2002"/>
      <c r="S118" s="1523"/>
      <c r="T118" s="1523"/>
      <c r="U118" s="905"/>
      <c r="V118" s="1523"/>
      <c r="W118" s="1523"/>
      <c r="X118" s="1523"/>
      <c r="Y118" s="1523"/>
      <c r="Z118" s="1523"/>
      <c r="AA118" s="1998"/>
      <c r="AB118" s="927"/>
      <c r="AC118" s="927"/>
      <c r="AD118" s="927"/>
      <c r="AE118" s="927"/>
    </row>
    <row s="32338" customFormat="1" customHeight="1" ht="11.25">
      <c r="A119" s="1349"/>
      <c r="B119" s="2002"/>
      <c r="C119" s="2002"/>
      <c r="D119" s="712"/>
      <c r="K119" s="1523"/>
      <c r="L119" s="2002"/>
      <c r="M119" s="2002"/>
      <c r="N119" s="1523"/>
      <c r="O119" s="1523"/>
      <c r="P119" s="1523"/>
      <c r="Q119" s="1523"/>
      <c r="R119" s="2002"/>
      <c r="S119" s="1523"/>
      <c r="T119" s="1523"/>
      <c r="U119" s="905"/>
      <c r="V119" s="1523"/>
      <c r="W119" s="1523"/>
      <c r="X119" s="1523"/>
      <c r="Y119" s="1523"/>
      <c r="Z119" s="1523"/>
      <c r="AA119" s="1998"/>
      <c r="AB119" s="927"/>
      <c r="AC119" s="927"/>
      <c r="AD119" s="927"/>
      <c r="AE119" s="927"/>
    </row>
    <row s="32338" customFormat="1" customHeight="1" ht="11.25">
      <c r="A120" s="1349"/>
      <c r="B120" s="2002"/>
      <c r="C120" s="2002"/>
      <c r="D120" s="712"/>
      <c r="K120" s="1523"/>
      <c r="L120" s="2002"/>
      <c r="M120" s="2002"/>
      <c r="N120" s="1523"/>
      <c r="O120" s="1523"/>
      <c r="P120" s="1523"/>
      <c r="Q120" s="1523"/>
      <c r="R120" s="2002"/>
      <c r="S120" s="1523"/>
      <c r="T120" s="1523"/>
      <c r="U120" s="905"/>
      <c r="V120" s="1523"/>
      <c r="W120" s="1523"/>
      <c r="X120" s="1523"/>
      <c r="Y120" s="1523"/>
      <c r="Z120" s="1523"/>
      <c r="AA120" s="1998"/>
      <c r="AB120" s="927"/>
      <c r="AC120" s="927"/>
      <c r="AD120" s="927"/>
      <c r="AE120" s="927"/>
    </row>
    <row s="32338" customFormat="1" customHeight="1" ht="11.25">
      <c r="A121" s="1349"/>
      <c r="B121" s="2002"/>
      <c r="C121" s="2002"/>
      <c r="D121" s="712"/>
      <c r="K121" s="1523"/>
      <c r="L121" s="2002"/>
      <c r="M121" s="2002"/>
      <c r="N121" s="1523"/>
      <c r="O121" s="1523"/>
      <c r="P121" s="1523"/>
      <c r="Q121" s="1523"/>
      <c r="R121" s="2002"/>
      <c r="S121" s="1523"/>
      <c r="T121" s="1523"/>
      <c r="U121" s="905"/>
      <c r="V121" s="1523"/>
      <c r="W121" s="1523"/>
      <c r="X121" s="1523"/>
      <c r="Y121" s="1523"/>
      <c r="Z121" s="1523"/>
      <c r="AA121" s="1998"/>
      <c r="AB121" s="927"/>
      <c r="AC121" s="927"/>
      <c r="AD121" s="927"/>
      <c r="AE121" s="927"/>
    </row>
    <row s="32338" customFormat="1" customHeight="1" ht="11.25">
      <c r="A122" s="1349"/>
      <c r="B122" s="2002"/>
      <c r="C122" s="2002"/>
      <c r="D122" s="712"/>
      <c r="K122" s="1523"/>
      <c r="L122" s="2002"/>
      <c r="M122" s="2002"/>
      <c r="N122" s="1523"/>
      <c r="O122" s="1523"/>
      <c r="P122" s="1523"/>
      <c r="Q122" s="1523"/>
      <c r="R122" s="2002"/>
      <c r="S122" s="1523"/>
      <c r="T122" s="1523"/>
      <c r="U122" s="905"/>
      <c r="V122" s="1523"/>
      <c r="W122" s="1523"/>
      <c r="X122" s="1523"/>
      <c r="Y122" s="1523"/>
      <c r="Z122" s="1523"/>
      <c r="AA122" s="1998"/>
      <c r="AB122" s="927"/>
      <c r="AC122" s="927"/>
      <c r="AD122" s="927"/>
      <c r="AE122" s="927"/>
    </row>
    <row s="32338" customFormat="1" customHeight="1" ht="11.25">
      <c r="A123" s="1349"/>
      <c r="B123" s="2002"/>
      <c r="C123" s="2002"/>
      <c r="D123" s="712"/>
      <c r="K123" s="1523"/>
      <c r="L123" s="2002"/>
      <c r="M123" s="2002"/>
      <c r="N123" s="1523"/>
      <c r="O123" s="1523"/>
      <c r="P123" s="1523"/>
      <c r="Q123" s="1523"/>
      <c r="R123" s="2002"/>
      <c r="S123" s="1523"/>
      <c r="T123" s="1523"/>
      <c r="U123" s="905"/>
      <c r="V123" s="1523"/>
      <c r="W123" s="1523"/>
      <c r="X123" s="1523"/>
      <c r="Y123" s="1523"/>
      <c r="Z123" s="1523"/>
      <c r="AA123" s="1998"/>
      <c r="AB123" s="927"/>
      <c r="AC123" s="927"/>
      <c r="AD123" s="927"/>
      <c r="AE123" s="927"/>
    </row>
    <row s="32338" customFormat="1" customHeight="1" ht="11.25">
      <c r="A124" s="1349"/>
      <c r="B124" s="2002"/>
      <c r="C124" s="2002"/>
      <c r="D124" s="712"/>
      <c r="K124" s="1523"/>
      <c r="L124" s="2002"/>
      <c r="M124" s="2002"/>
      <c r="N124" s="1523"/>
      <c r="O124" s="1523"/>
      <c r="P124" s="1523"/>
      <c r="Q124" s="1523"/>
      <c r="R124" s="2002"/>
      <c r="S124" s="1523"/>
      <c r="T124" s="1523"/>
      <c r="U124" s="905"/>
      <c r="V124" s="1523"/>
      <c r="W124" s="1523"/>
      <c r="X124" s="1523"/>
      <c r="Y124" s="1523"/>
      <c r="Z124" s="1523"/>
      <c r="AA124" s="1998"/>
      <c r="AB124" s="927"/>
      <c r="AC124" s="927"/>
      <c r="AD124" s="927"/>
      <c r="AE124" s="927"/>
    </row>
    <row s="32338" customFormat="1" customHeight="1" ht="11.25">
      <c r="A125" s="1349"/>
      <c r="B125" s="2002"/>
      <c r="C125" s="2002"/>
      <c r="D125" s="712"/>
      <c r="K125" s="1523"/>
      <c r="L125" s="2002"/>
      <c r="M125" s="2002"/>
      <c r="N125" s="1523"/>
      <c r="O125" s="1523"/>
      <c r="P125" s="1523"/>
      <c r="Q125" s="1523"/>
      <c r="R125" s="2002"/>
      <c r="S125" s="1523"/>
      <c r="T125" s="1523"/>
      <c r="U125" s="905"/>
      <c r="V125" s="1523"/>
      <c r="W125" s="1523"/>
      <c r="X125" s="1523"/>
      <c r="Y125" s="1523"/>
      <c r="Z125" s="1523"/>
      <c r="AA125" s="1998"/>
      <c r="AB125" s="927"/>
      <c r="AC125" s="927"/>
      <c r="AD125" s="927"/>
      <c r="AE125" s="927"/>
    </row>
    <row s="32338" customFormat="1" customHeight="1" ht="11.25">
      <c r="A126" s="1349"/>
      <c r="B126" s="2002"/>
      <c r="C126" s="2002"/>
      <c r="D126" s="712"/>
      <c r="K126" s="1523"/>
      <c r="L126" s="2002"/>
      <c r="M126" s="2002"/>
      <c r="N126" s="1523"/>
      <c r="O126" s="1523"/>
      <c r="P126" s="1523"/>
      <c r="Q126" s="1523"/>
      <c r="R126" s="2002"/>
      <c r="S126" s="1523"/>
      <c r="T126" s="1523"/>
      <c r="U126" s="905"/>
      <c r="V126" s="1523"/>
      <c r="W126" s="1523"/>
      <c r="X126" s="1523"/>
      <c r="Y126" s="1523"/>
      <c r="Z126" s="1523"/>
      <c r="AA126" s="1998"/>
      <c r="AB126" s="927"/>
      <c r="AC126" s="927"/>
      <c r="AD126" s="927"/>
      <c r="AE126" s="927"/>
    </row>
    <row s="32338" customFormat="1" customHeight="1" ht="11.25">
      <c r="A127" s="1349"/>
      <c r="B127" s="2002"/>
      <c r="C127" s="2002"/>
      <c r="D127" s="712"/>
      <c r="K127" s="1523"/>
      <c r="L127" s="2002"/>
      <c r="M127" s="2002"/>
      <c r="N127" s="1523"/>
      <c r="O127" s="1523"/>
      <c r="P127" s="1523"/>
      <c r="Q127" s="1523"/>
      <c r="R127" s="2002"/>
      <c r="S127" s="1523"/>
      <c r="T127" s="1523"/>
      <c r="U127" s="905"/>
      <c r="V127" s="1523"/>
      <c r="W127" s="1523"/>
      <c r="X127" s="1523"/>
      <c r="Y127" s="1523"/>
      <c r="Z127" s="1523"/>
      <c r="AA127" s="1998"/>
      <c r="AB127" s="927"/>
      <c r="AC127" s="927"/>
      <c r="AD127" s="927"/>
      <c r="AE127" s="927"/>
    </row>
    <row s="32338" customFormat="1" customHeight="1" ht="11.25">
      <c r="A128" s="1349"/>
      <c r="B128" s="2002"/>
      <c r="C128" s="2002"/>
      <c r="D128" s="712"/>
      <c r="K128" s="1523"/>
      <c r="L128" s="2002"/>
      <c r="M128" s="2002"/>
      <c r="N128" s="1523"/>
      <c r="O128" s="1523"/>
      <c r="P128" s="1523"/>
      <c r="Q128" s="1523"/>
      <c r="R128" s="2002"/>
      <c r="S128" s="1523"/>
      <c r="T128" s="1523"/>
      <c r="U128" s="905"/>
      <c r="V128" s="1523"/>
      <c r="W128" s="1523"/>
      <c r="X128" s="1523"/>
      <c r="Y128" s="1523"/>
      <c r="Z128" s="1523"/>
      <c r="AA128" s="1998"/>
      <c r="AB128" s="927"/>
      <c r="AC128" s="927"/>
      <c r="AD128" s="927"/>
      <c r="AE128" s="927"/>
    </row>
    <row s="32338" customFormat="1" customHeight="1" ht="11.25">
      <c r="A129" s="1349"/>
      <c r="B129" s="2002"/>
      <c r="C129" s="2002"/>
      <c r="D129" s="712"/>
      <c r="K129" s="1523"/>
      <c r="L129" s="2002"/>
      <c r="M129" s="2002"/>
      <c r="N129" s="1523"/>
      <c r="O129" s="1523"/>
      <c r="P129" s="1523"/>
      <c r="Q129" s="1523"/>
      <c r="R129" s="2002"/>
      <c r="S129" s="1523"/>
      <c r="T129" s="1523"/>
      <c r="U129" s="905"/>
      <c r="V129" s="1523"/>
      <c r="W129" s="1523"/>
      <c r="X129" s="1523"/>
      <c r="Y129" s="1523"/>
      <c r="Z129" s="1523"/>
      <c r="AA129" s="1998"/>
      <c r="AB129" s="927"/>
      <c r="AC129" s="927"/>
      <c r="AD129" s="927"/>
      <c r="AE129" s="927"/>
    </row>
    <row s="32338" customFormat="1" customHeight="1" ht="11.25">
      <c r="A130" s="1349"/>
      <c r="B130" s="2002"/>
      <c r="C130" s="2002"/>
      <c r="D130" s="712"/>
      <c r="K130" s="1523"/>
      <c r="L130" s="2002"/>
      <c r="M130" s="2002"/>
      <c r="N130" s="1523"/>
      <c r="O130" s="1523"/>
      <c r="P130" s="1523"/>
      <c r="Q130" s="1523"/>
      <c r="R130" s="2002"/>
      <c r="S130" s="1523"/>
      <c r="T130" s="1523"/>
      <c r="U130" s="905"/>
      <c r="V130" s="1523"/>
      <c r="W130" s="1523"/>
      <c r="X130" s="1523"/>
      <c r="Y130" s="1523"/>
      <c r="Z130" s="1523"/>
      <c r="AA130" s="1998"/>
      <c r="AB130" s="927"/>
      <c r="AC130" s="927"/>
      <c r="AD130" s="927"/>
      <c r="AE130" s="927"/>
    </row>
    <row s="32338" customFormat="1" customHeight="1" ht="11.25">
      <c r="A131" s="1349"/>
      <c r="B131" s="2002"/>
      <c r="C131" s="2002"/>
      <c r="D131" s="712"/>
      <c r="K131" s="1523"/>
      <c r="L131" s="2002"/>
      <c r="M131" s="2002"/>
      <c r="N131" s="1523"/>
      <c r="O131" s="1523"/>
      <c r="P131" s="1523"/>
      <c r="Q131" s="1523"/>
      <c r="R131" s="2002"/>
      <c r="S131" s="1523"/>
      <c r="T131" s="1523"/>
      <c r="U131" s="905"/>
      <c r="V131" s="1523"/>
      <c r="W131" s="1523"/>
      <c r="X131" s="1523"/>
      <c r="Y131" s="1523"/>
      <c r="Z131" s="1523"/>
      <c r="AA131" s="1998"/>
      <c r="AB131" s="927"/>
      <c r="AC131" s="927"/>
      <c r="AD131" s="927"/>
      <c r="AE131" s="927"/>
    </row>
    <row s="32338" customFormat="1" customHeight="1" ht="11.25">
      <c r="A132" s="1349"/>
      <c r="B132" s="2002"/>
      <c r="C132" s="2002"/>
      <c r="D132" s="712"/>
      <c r="K132" s="1523"/>
      <c r="L132" s="2002"/>
      <c r="M132" s="2002"/>
      <c r="N132" s="1523"/>
      <c r="O132" s="1523"/>
      <c r="P132" s="1523"/>
      <c r="Q132" s="1523"/>
      <c r="R132" s="2002"/>
      <c r="S132" s="1523"/>
      <c r="T132" s="1523"/>
      <c r="U132" s="905"/>
      <c r="V132" s="1523"/>
      <c r="W132" s="1523"/>
      <c r="X132" s="1523"/>
      <c r="Y132" s="1523"/>
      <c r="Z132" s="1523"/>
      <c r="AA132" s="1998"/>
      <c r="AB132" s="927"/>
      <c r="AC132" s="927"/>
      <c r="AD132" s="927"/>
      <c r="AE132" s="927"/>
    </row>
    <row s="32338" customFormat="1" customHeight="1" ht="11.25">
      <c r="A133" s="1349"/>
      <c r="B133" s="2002"/>
      <c r="C133" s="2002"/>
      <c r="D133" s="712"/>
      <c r="K133" s="1523"/>
      <c r="L133" s="2002"/>
      <c r="M133" s="2002"/>
      <c r="N133" s="1523"/>
      <c r="O133" s="1523"/>
      <c r="P133" s="1523"/>
      <c r="Q133" s="1523"/>
      <c r="R133" s="2002"/>
      <c r="S133" s="1523"/>
      <c r="T133" s="1523"/>
      <c r="U133" s="905"/>
      <c r="V133" s="1523"/>
      <c r="W133" s="1523"/>
      <c r="X133" s="1523"/>
      <c r="Y133" s="1523"/>
      <c r="Z133" s="1523"/>
      <c r="AA133" s="1998"/>
      <c r="AB133" s="927"/>
      <c r="AC133" s="927"/>
      <c r="AD133" s="927"/>
      <c r="AE133" s="927"/>
    </row>
    <row s="32338" customFormat="1" customHeight="1" ht="11.25">
      <c r="A134" s="1349"/>
      <c r="B134" s="2002"/>
      <c r="C134" s="2002"/>
      <c r="D134" s="712"/>
      <c r="K134" s="1523"/>
      <c r="L134" s="2002"/>
      <c r="M134" s="2002"/>
      <c r="N134" s="1523"/>
      <c r="O134" s="1523"/>
      <c r="P134" s="1523"/>
      <c r="Q134" s="1523"/>
      <c r="R134" s="2002"/>
      <c r="S134" s="1523"/>
      <c r="T134" s="1523"/>
      <c r="U134" s="905"/>
      <c r="V134" s="1523"/>
      <c r="W134" s="1523"/>
      <c r="X134" s="1523"/>
      <c r="Y134" s="1523"/>
      <c r="Z134" s="1523"/>
      <c r="AA134" s="1998"/>
      <c r="AB134" s="927"/>
      <c r="AC134" s="927"/>
      <c r="AD134" s="927"/>
      <c r="AE134" s="927"/>
    </row>
    <row s="32338" customFormat="1" customHeight="1" ht="11.25">
      <c r="A135" s="1349"/>
      <c r="B135" s="2002"/>
      <c r="C135" s="2002"/>
      <c r="D135" s="712"/>
      <c r="K135" s="1523"/>
      <c r="L135" s="2002"/>
      <c r="M135" s="2002"/>
      <c r="N135" s="1523"/>
      <c r="O135" s="1523"/>
      <c r="P135" s="1523"/>
      <c r="Q135" s="1523"/>
      <c r="R135" s="2002"/>
      <c r="S135" s="1523"/>
      <c r="T135" s="1523"/>
      <c r="U135" s="905"/>
      <c r="V135" s="1523"/>
      <c r="W135" s="1523"/>
      <c r="X135" s="1523"/>
      <c r="Y135" s="1523"/>
      <c r="Z135" s="1523"/>
      <c r="AA135" s="1998"/>
      <c r="AB135" s="927"/>
      <c r="AC135" s="927"/>
      <c r="AD135" s="927"/>
      <c r="AE135" s="927"/>
    </row>
    <row s="32338" customFormat="1" customHeight="1" ht="11.25">
      <c r="A136" s="1349"/>
      <c r="B136" s="2002"/>
      <c r="C136" s="2002"/>
      <c r="D136" s="712"/>
      <c r="K136" s="1523"/>
      <c r="L136" s="2002"/>
      <c r="M136" s="2002"/>
      <c r="N136" s="1523"/>
      <c r="O136" s="1523"/>
      <c r="P136" s="1523"/>
      <c r="Q136" s="1523"/>
      <c r="R136" s="2002"/>
      <c r="S136" s="1523"/>
      <c r="T136" s="1523"/>
      <c r="U136" s="905"/>
      <c r="V136" s="1523"/>
      <c r="W136" s="1523"/>
      <c r="X136" s="1523"/>
      <c r="Y136" s="1523"/>
      <c r="Z136" s="1523"/>
      <c r="AA136" s="1998"/>
      <c r="AB136" s="927"/>
      <c r="AC136" s="927"/>
      <c r="AD136" s="927"/>
      <c r="AE136" s="927"/>
    </row>
    <row s="32338" customFormat="1" customHeight="1" ht="11.25">
      <c r="A137" s="1349"/>
      <c r="B137" s="2002"/>
      <c r="C137" s="2002"/>
      <c r="D137" s="712"/>
      <c r="K137" s="1523"/>
      <c r="L137" s="2002"/>
      <c r="M137" s="2002"/>
      <c r="N137" s="1523"/>
      <c r="O137" s="1523"/>
      <c r="P137" s="1523"/>
      <c r="Q137" s="1523"/>
      <c r="R137" s="2002"/>
      <c r="S137" s="1523"/>
      <c r="T137" s="1523"/>
      <c r="U137" s="905"/>
      <c r="V137" s="1523"/>
      <c r="W137" s="1523"/>
      <c r="X137" s="1523"/>
      <c r="Y137" s="1523"/>
      <c r="Z137" s="1523"/>
      <c r="AA137" s="1998"/>
      <c r="AB137" s="927"/>
      <c r="AC137" s="927"/>
      <c r="AD137" s="927"/>
      <c r="AE137" s="927"/>
    </row>
    <row s="32338" customFormat="1" customHeight="1" ht="11.25">
      <c r="A138" s="1349"/>
      <c r="B138" s="2002"/>
      <c r="C138" s="2002"/>
      <c r="D138" s="712"/>
      <c r="K138" s="1523"/>
      <c r="L138" s="2002"/>
      <c r="M138" s="2002"/>
      <c r="N138" s="1523"/>
      <c r="O138" s="1523"/>
      <c r="P138" s="1523"/>
      <c r="Q138" s="1523"/>
      <c r="R138" s="2002"/>
      <c r="S138" s="1523"/>
      <c r="T138" s="1523"/>
      <c r="U138" s="905"/>
      <c r="V138" s="1523"/>
      <c r="W138" s="1523"/>
      <c r="X138" s="1523"/>
      <c r="Y138" s="1523"/>
      <c r="Z138" s="1523"/>
      <c r="AA138" s="1998"/>
      <c r="AB138" s="927"/>
      <c r="AC138" s="927"/>
      <c r="AD138" s="927"/>
      <c r="AE138" s="927"/>
    </row>
    <row s="32338" customFormat="1" customHeight="1" ht="11.25">
      <c r="A139" s="1349"/>
      <c r="B139" s="2002"/>
      <c r="C139" s="2002"/>
      <c r="D139" s="712"/>
      <c r="K139" s="1523"/>
      <c r="L139" s="2002"/>
      <c r="M139" s="2002"/>
      <c r="N139" s="1523"/>
      <c r="O139" s="1523"/>
      <c r="P139" s="1523"/>
      <c r="Q139" s="1523"/>
      <c r="R139" s="2002"/>
      <c r="S139" s="1523"/>
      <c r="T139" s="1523"/>
      <c r="U139" s="905"/>
      <c r="V139" s="1523"/>
      <c r="W139" s="1523"/>
      <c r="X139" s="1523"/>
      <c r="Y139" s="1523"/>
      <c r="Z139" s="1523"/>
      <c r="AA139" s="1998"/>
      <c r="AB139" s="927"/>
      <c r="AC139" s="927"/>
      <c r="AD139" s="927"/>
      <c r="AE139" s="927"/>
    </row>
    <row s="32338" customFormat="1" customHeight="1" ht="11.25">
      <c r="A140" s="1349"/>
      <c r="B140" s="2002"/>
      <c r="C140" s="2002"/>
      <c r="D140" s="712"/>
      <c r="K140" s="1523"/>
      <c r="L140" s="2002"/>
      <c r="M140" s="2002"/>
      <c r="N140" s="1523"/>
      <c r="O140" s="1523"/>
      <c r="P140" s="1523"/>
      <c r="Q140" s="1523"/>
      <c r="R140" s="2002"/>
      <c r="S140" s="1523"/>
      <c r="T140" s="1523"/>
      <c r="U140" s="905"/>
      <c r="V140" s="1523"/>
      <c r="W140" s="1523"/>
      <c r="X140" s="1523"/>
      <c r="Y140" s="1523"/>
      <c r="Z140" s="1523"/>
      <c r="AA140" s="1998"/>
      <c r="AB140" s="927"/>
      <c r="AC140" s="927"/>
      <c r="AD140" s="927"/>
      <c r="AE140" s="927"/>
    </row>
    <row s="32338" customFormat="1" customHeight="1" ht="11.25">
      <c r="A141" s="1349"/>
      <c r="B141" s="2002"/>
      <c r="C141" s="2002"/>
      <c r="D141" s="712"/>
      <c r="K141" s="1523"/>
      <c r="L141" s="2002"/>
      <c r="M141" s="2002"/>
      <c r="N141" s="1523"/>
      <c r="O141" s="1523"/>
      <c r="P141" s="1523"/>
      <c r="Q141" s="1523"/>
      <c r="R141" s="2002"/>
      <c r="S141" s="1523"/>
      <c r="T141" s="1523"/>
      <c r="U141" s="905"/>
      <c r="V141" s="1523"/>
      <c r="W141" s="1523"/>
      <c r="X141" s="1523"/>
      <c r="Y141" s="1523"/>
      <c r="Z141" s="1523"/>
      <c r="AA141" s="1998"/>
      <c r="AB141" s="927"/>
      <c r="AC141" s="927"/>
      <c r="AD141" s="927"/>
      <c r="AE141" s="927"/>
    </row>
    <row s="32338" customFormat="1" customHeight="1" ht="11.25">
      <c r="A142" s="1349"/>
      <c r="B142" s="2002"/>
      <c r="C142" s="2002"/>
      <c r="D142" s="712"/>
      <c r="K142" s="1523"/>
      <c r="L142" s="2002"/>
      <c r="M142" s="2002"/>
      <c r="N142" s="1523"/>
      <c r="O142" s="1523"/>
      <c r="P142" s="1523"/>
      <c r="Q142" s="1523"/>
      <c r="R142" s="2002"/>
      <c r="S142" s="1523"/>
      <c r="T142" s="1523"/>
      <c r="U142" s="905"/>
      <c r="V142" s="1523"/>
      <c r="W142" s="1523"/>
      <c r="X142" s="1523"/>
      <c r="Y142" s="1523"/>
      <c r="Z142" s="1523"/>
      <c r="AA142" s="1998"/>
      <c r="AB142" s="927"/>
      <c r="AC142" s="927"/>
      <c r="AD142" s="927"/>
      <c r="AE142" s="927"/>
    </row>
    <row s="32338" customFormat="1" customHeight="1" ht="11.25">
      <c r="A143" s="1349"/>
      <c r="B143" s="2002"/>
      <c r="C143" s="2002"/>
      <c r="D143" s="712"/>
      <c r="K143" s="1523"/>
      <c r="L143" s="2002"/>
      <c r="M143" s="2002"/>
      <c r="N143" s="1523"/>
      <c r="O143" s="1523"/>
      <c r="P143" s="1523"/>
      <c r="Q143" s="1523"/>
      <c r="R143" s="2002"/>
      <c r="S143" s="1523"/>
      <c r="T143" s="1523"/>
      <c r="U143" s="905"/>
      <c r="V143" s="1523"/>
      <c r="W143" s="1523"/>
      <c r="X143" s="1523"/>
      <c r="Y143" s="1523"/>
      <c r="Z143" s="1523"/>
      <c r="AA143" s="1998"/>
      <c r="AB143" s="927"/>
      <c r="AC143" s="927"/>
      <c r="AD143" s="927"/>
      <c r="AE143" s="927"/>
    </row>
    <row s="32338" customFormat="1" customHeight="1" ht="11.25">
      <c r="A144" s="1349"/>
      <c r="B144" s="2002"/>
      <c r="C144" s="2002"/>
      <c r="D144" s="712"/>
      <c r="K144" s="1523"/>
      <c r="L144" s="2002"/>
      <c r="M144" s="2002"/>
      <c r="N144" s="1523"/>
      <c r="O144" s="1523"/>
      <c r="P144" s="1523"/>
      <c r="Q144" s="1523"/>
      <c r="R144" s="2002"/>
      <c r="S144" s="1523"/>
      <c r="T144" s="1523"/>
      <c r="U144" s="905"/>
      <c r="V144" s="1523"/>
      <c r="W144" s="1523"/>
      <c r="X144" s="1523"/>
      <c r="Y144" s="1523"/>
      <c r="Z144" s="1523"/>
      <c r="AA144" s="1998"/>
      <c r="AB144" s="927"/>
      <c r="AC144" s="927"/>
      <c r="AD144" s="927"/>
      <c r="AE144" s="927"/>
    </row>
    <row s="32338" customFormat="1" customHeight="1" ht="11.25">
      <c r="A145" s="1349"/>
      <c r="B145" s="2002"/>
      <c r="C145" s="2002"/>
      <c r="D145" s="712"/>
      <c r="K145" s="1523"/>
      <c r="L145" s="2002"/>
      <c r="M145" s="2002"/>
      <c r="N145" s="1523"/>
      <c r="O145" s="1523"/>
      <c r="P145" s="1523"/>
      <c r="Q145" s="1523"/>
      <c r="R145" s="2002"/>
      <c r="S145" s="1523"/>
      <c r="T145" s="1523"/>
      <c r="U145" s="905"/>
      <c r="V145" s="1523"/>
      <c r="W145" s="1523"/>
      <c r="X145" s="1523"/>
      <c r="Y145" s="1523"/>
      <c r="Z145" s="1523"/>
      <c r="AA145" s="1998"/>
      <c r="AB145" s="927"/>
      <c r="AC145" s="927"/>
      <c r="AD145" s="927"/>
      <c r="AE145" s="927"/>
    </row>
    <row s="32338" customFormat="1" customHeight="1" ht="11.25">
      <c r="A146" s="1349"/>
      <c r="B146" s="2002"/>
      <c r="C146" s="2002"/>
      <c r="D146" s="712"/>
      <c r="K146" s="1523"/>
      <c r="L146" s="2002"/>
      <c r="M146" s="2002"/>
      <c r="N146" s="1523"/>
      <c r="O146" s="1523"/>
      <c r="P146" s="1523"/>
      <c r="Q146" s="1523"/>
      <c r="R146" s="2002"/>
      <c r="S146" s="1523"/>
      <c r="T146" s="1523"/>
      <c r="U146" s="905"/>
      <c r="V146" s="1523"/>
      <c r="W146" s="1523"/>
      <c r="X146" s="1523"/>
      <c r="Y146" s="1523"/>
      <c r="Z146" s="1523"/>
      <c r="AA146" s="1998"/>
      <c r="AB146" s="927"/>
      <c r="AC146" s="927"/>
      <c r="AD146" s="927"/>
      <c r="AE146" s="927"/>
    </row>
    <row s="32338" customFormat="1" customHeight="1" ht="11.25">
      <c r="A147" s="1349"/>
      <c r="B147" s="2002"/>
      <c r="C147" s="2002"/>
      <c r="D147" s="712"/>
      <c r="K147" s="1523"/>
      <c r="L147" s="2002"/>
      <c r="M147" s="2002"/>
      <c r="N147" s="1523"/>
      <c r="O147" s="1523"/>
      <c r="P147" s="1523"/>
      <c r="Q147" s="1523"/>
      <c r="R147" s="2002"/>
      <c r="S147" s="1523"/>
      <c r="T147" s="1523"/>
      <c r="U147" s="905"/>
      <c r="V147" s="1523"/>
      <c r="W147" s="1523"/>
      <c r="X147" s="1523"/>
      <c r="Y147" s="1523"/>
      <c r="Z147" s="1523"/>
      <c r="AA147" s="1998"/>
      <c r="AB147" s="927"/>
      <c r="AC147" s="927"/>
      <c r="AD147" s="927"/>
      <c r="AE147" s="927"/>
    </row>
    <row s="32338" customFormat="1" customHeight="1" ht="11.25">
      <c r="A148" s="1349"/>
      <c r="B148" s="2002"/>
      <c r="C148" s="2002"/>
      <c r="D148" s="712"/>
      <c r="K148" s="1523"/>
      <c r="L148" s="2002"/>
      <c r="M148" s="2002"/>
      <c r="N148" s="1523"/>
      <c r="O148" s="1523"/>
      <c r="P148" s="1523"/>
      <c r="Q148" s="1523"/>
      <c r="R148" s="2002"/>
      <c r="S148" s="1523"/>
      <c r="T148" s="1523"/>
      <c r="U148" s="905"/>
      <c r="V148" s="1523"/>
      <c r="W148" s="1523"/>
      <c r="X148" s="1523"/>
      <c r="Y148" s="1523"/>
      <c r="Z148" s="1523"/>
      <c r="AA148" s="1998"/>
      <c r="AB148" s="927"/>
      <c r="AC148" s="927"/>
      <c r="AD148" s="927"/>
      <c r="AE148" s="927"/>
    </row>
    <row s="32338" customFormat="1" customHeight="1" ht="11.25">
      <c r="A149" s="1349"/>
      <c r="B149" s="2002"/>
      <c r="C149" s="2002"/>
      <c r="D149" s="712"/>
      <c r="K149" s="1523"/>
      <c r="L149" s="2002"/>
      <c r="M149" s="2002"/>
      <c r="N149" s="1523"/>
      <c r="O149" s="1523"/>
      <c r="P149" s="1523"/>
      <c r="Q149" s="1523"/>
      <c r="R149" s="2002"/>
      <c r="S149" s="1523"/>
      <c r="T149" s="1523"/>
      <c r="U149" s="905"/>
      <c r="V149" s="1523"/>
      <c r="W149" s="1523"/>
      <c r="X149" s="1523"/>
      <c r="Y149" s="1523"/>
      <c r="Z149" s="1523"/>
      <c r="AA149" s="1998"/>
      <c r="AB149" s="927"/>
      <c r="AC149" s="927"/>
      <c r="AD149" s="927"/>
      <c r="AE149" s="927"/>
    </row>
    <row s="32338" customFormat="1" customHeight="1" ht="11.25">
      <c r="A150" s="1349"/>
      <c r="B150" s="2002"/>
      <c r="C150" s="2002"/>
      <c r="D150" s="712"/>
      <c r="K150" s="1523"/>
      <c r="L150" s="2002"/>
      <c r="M150" s="2002"/>
      <c r="N150" s="1523"/>
      <c r="O150" s="1523"/>
      <c r="P150" s="1523"/>
      <c r="Q150" s="1523"/>
      <c r="R150" s="2002"/>
      <c r="S150" s="1523"/>
      <c r="T150" s="1523"/>
      <c r="U150" s="905"/>
      <c r="V150" s="1523"/>
      <c r="W150" s="1523"/>
      <c r="X150" s="1523"/>
      <c r="Y150" s="1523"/>
      <c r="Z150" s="1523"/>
      <c r="AA150" s="1998"/>
      <c r="AB150" s="927"/>
      <c r="AC150" s="927"/>
      <c r="AD150" s="927"/>
      <c r="AE150" s="927"/>
    </row>
    <row s="32338" customFormat="1" customHeight="1" ht="11.25">
      <c r="A151" s="1349"/>
      <c r="B151" s="2002"/>
      <c r="C151" s="2002"/>
      <c r="D151" s="712"/>
      <c r="K151" s="1523"/>
      <c r="L151" s="2002"/>
      <c r="M151" s="2002"/>
      <c r="N151" s="1523"/>
      <c r="O151" s="1523"/>
      <c r="P151" s="1523"/>
      <c r="Q151" s="1523"/>
      <c r="R151" s="2002"/>
      <c r="S151" s="1523"/>
      <c r="T151" s="1523"/>
      <c r="U151" s="905"/>
      <c r="V151" s="1523"/>
      <c r="W151" s="1523"/>
      <c r="X151" s="1523"/>
      <c r="Y151" s="1523"/>
      <c r="Z151" s="1523"/>
      <c r="AA151" s="1998"/>
      <c r="AB151" s="927"/>
      <c r="AC151" s="927"/>
      <c r="AD151" s="927"/>
      <c r="AE151" s="927"/>
    </row>
    <row s="32338" customFormat="1" customHeight="1" ht="11.25">
      <c r="A152" s="1349"/>
      <c r="B152" s="2002"/>
      <c r="C152" s="2002"/>
      <c r="D152" s="712"/>
      <c r="K152" s="1523"/>
      <c r="L152" s="2002"/>
      <c r="M152" s="2002"/>
      <c r="N152" s="1523"/>
      <c r="O152" s="1523"/>
      <c r="P152" s="1523"/>
      <c r="Q152" s="1523"/>
      <c r="R152" s="2002"/>
      <c r="S152" s="1523"/>
      <c r="T152" s="1523"/>
      <c r="U152" s="905"/>
      <c r="V152" s="1523"/>
      <c r="W152" s="1523"/>
      <c r="X152" s="1523"/>
      <c r="Y152" s="1523"/>
      <c r="Z152" s="1523"/>
      <c r="AA152" s="1998"/>
      <c r="AB152" s="927"/>
      <c r="AC152" s="927"/>
      <c r="AD152" s="927"/>
      <c r="AE152" s="927"/>
    </row>
    <row s="32338" customFormat="1" customHeight="1" ht="11.25">
      <c r="A153" s="1349"/>
      <c r="B153" s="2002"/>
      <c r="C153" s="2002"/>
      <c r="D153" s="712"/>
      <c r="K153" s="1523"/>
      <c r="L153" s="2002"/>
      <c r="M153" s="2002"/>
      <c r="N153" s="1523"/>
      <c r="O153" s="1523"/>
      <c r="P153" s="1523"/>
      <c r="Q153" s="1523"/>
      <c r="R153" s="2002"/>
      <c r="S153" s="1523"/>
      <c r="T153" s="1523"/>
      <c r="U153" s="905"/>
      <c r="V153" s="1523"/>
      <c r="W153" s="1523"/>
      <c r="X153" s="1523"/>
      <c r="Y153" s="1523"/>
      <c r="Z153" s="1523"/>
      <c r="AA153" s="1998"/>
      <c r="AB153" s="927"/>
      <c r="AC153" s="927"/>
      <c r="AD153" s="927"/>
      <c r="AE153" s="927"/>
    </row>
    <row s="32338" customFormat="1" customHeight="1" ht="11.25">
      <c r="A154" s="1349"/>
      <c r="B154" s="2002"/>
      <c r="C154" s="2002"/>
      <c r="D154" s="712"/>
      <c r="K154" s="1523"/>
      <c r="L154" s="2002"/>
      <c r="M154" s="2002"/>
      <c r="N154" s="1523"/>
      <c r="O154" s="1523"/>
      <c r="P154" s="1523"/>
      <c r="Q154" s="1523"/>
      <c r="R154" s="2002"/>
      <c r="S154" s="1523"/>
      <c r="T154" s="1523"/>
      <c r="U154" s="905"/>
      <c r="V154" s="1523"/>
      <c r="W154" s="1523"/>
      <c r="X154" s="1523"/>
      <c r="Y154" s="1523"/>
      <c r="Z154" s="1523"/>
      <c r="AA154" s="1998"/>
      <c r="AB154" s="927"/>
      <c r="AC154" s="927"/>
      <c r="AD154" s="927"/>
      <c r="AE154" s="927"/>
    </row>
    <row s="32338" customFormat="1" customHeight="1" ht="11.25">
      <c r="A155" s="1349"/>
      <c r="B155" s="2002"/>
      <c r="C155" s="2002"/>
      <c r="D155" s="712"/>
      <c r="K155" s="1523"/>
      <c r="L155" s="2002"/>
      <c r="M155" s="2002"/>
      <c r="N155" s="1523"/>
      <c r="O155" s="1523"/>
      <c r="P155" s="1523"/>
      <c r="Q155" s="1523"/>
      <c r="R155" s="2002"/>
      <c r="S155" s="1523"/>
      <c r="T155" s="1523"/>
      <c r="U155" s="905"/>
      <c r="V155" s="1523"/>
      <c r="W155" s="1523"/>
      <c r="X155" s="1523"/>
      <c r="Y155" s="1523"/>
      <c r="Z155" s="1523"/>
      <c r="AA155" s="1998"/>
      <c r="AB155" s="927"/>
      <c r="AC155" s="927"/>
      <c r="AD155" s="927"/>
      <c r="AE155" s="927"/>
    </row>
    <row s="32338" customFormat="1" customHeight="1" ht="11.25">
      <c r="A156" s="1349"/>
      <c r="B156" s="2002"/>
      <c r="C156" s="2002"/>
      <c r="D156" s="712"/>
      <c r="K156" s="1523"/>
      <c r="L156" s="2002"/>
      <c r="M156" s="2002"/>
      <c r="N156" s="1523"/>
      <c r="O156" s="1523"/>
      <c r="P156" s="1523"/>
      <c r="Q156" s="1523"/>
      <c r="R156" s="2002"/>
      <c r="S156" s="1523"/>
      <c r="T156" s="1523"/>
      <c r="U156" s="905"/>
      <c r="V156" s="1523"/>
      <c r="W156" s="1523"/>
      <c r="X156" s="1523"/>
      <c r="Y156" s="1523"/>
      <c r="Z156" s="1523"/>
      <c r="AA156" s="1998"/>
      <c r="AB156" s="927"/>
      <c r="AC156" s="927"/>
      <c r="AD156" s="927"/>
      <c r="AE156" s="927"/>
    </row>
    <row s="32338" customFormat="1" customHeight="1" ht="11.25">
      <c r="A157" s="1349"/>
      <c r="B157" s="2002"/>
      <c r="C157" s="2002"/>
      <c r="D157" s="712"/>
      <c r="K157" s="1523"/>
      <c r="L157" s="2002"/>
      <c r="M157" s="2002"/>
      <c r="N157" s="1523"/>
      <c r="O157" s="1523"/>
      <c r="P157" s="1523"/>
      <c r="Q157" s="1523"/>
      <c r="R157" s="2002"/>
      <c r="S157" s="1523"/>
      <c r="T157" s="1523"/>
      <c r="U157" s="905"/>
      <c r="V157" s="1523"/>
      <c r="W157" s="1523"/>
      <c r="X157" s="1523"/>
      <c r="Y157" s="1523"/>
      <c r="Z157" s="1523"/>
      <c r="AA157" s="1998"/>
      <c r="AB157" s="927"/>
      <c r="AC157" s="927"/>
      <c r="AD157" s="927"/>
      <c r="AE157" s="927"/>
    </row>
    <row s="32338" customFormat="1" customHeight="1" ht="11.25">
      <c r="A158" s="1349"/>
      <c r="B158" s="2002"/>
      <c r="C158" s="2002"/>
      <c r="D158" s="712"/>
      <c r="K158" s="1523"/>
      <c r="L158" s="2002"/>
      <c r="M158" s="2002"/>
      <c r="N158" s="1523"/>
      <c r="O158" s="1523"/>
      <c r="P158" s="1523"/>
      <c r="Q158" s="1523"/>
      <c r="R158" s="2002"/>
      <c r="S158" s="1523"/>
      <c r="T158" s="1523"/>
      <c r="U158" s="905"/>
      <c r="V158" s="1523"/>
      <c r="W158" s="1523"/>
      <c r="X158" s="1523"/>
      <c r="Y158" s="1523"/>
      <c r="Z158" s="1523"/>
      <c r="AA158" s="1998"/>
      <c r="AB158" s="927"/>
      <c r="AC158" s="927"/>
      <c r="AD158" s="927"/>
      <c r="AE158" s="927"/>
    </row>
    <row s="32338" customFormat="1" customHeight="1" ht="11.25">
      <c r="A159" s="1349"/>
      <c r="B159" s="2002"/>
      <c r="C159" s="2002"/>
      <c r="D159" s="712"/>
      <c r="K159" s="1523"/>
      <c r="L159" s="2002"/>
      <c r="M159" s="2002"/>
      <c r="N159" s="1523"/>
      <c r="O159" s="1523"/>
      <c r="P159" s="1523"/>
      <c r="Q159" s="1523"/>
      <c r="R159" s="2002"/>
      <c r="S159" s="1523"/>
      <c r="T159" s="1523"/>
      <c r="U159" s="905"/>
      <c r="V159" s="1523"/>
      <c r="W159" s="1523"/>
      <c r="X159" s="1523"/>
      <c r="Y159" s="1523"/>
      <c r="Z159" s="1523"/>
      <c r="AA159" s="1998"/>
      <c r="AB159" s="927"/>
      <c r="AC159" s="927"/>
      <c r="AD159" s="927"/>
      <c r="AE159" s="927"/>
    </row>
    <row s="32338" customFormat="1" customHeight="1" ht="11.25">
      <c r="A160" s="1349"/>
      <c r="B160" s="2002"/>
      <c r="C160" s="2002"/>
      <c r="D160" s="712"/>
      <c r="K160" s="1523"/>
      <c r="L160" s="2002"/>
      <c r="M160" s="2002"/>
      <c r="N160" s="1523"/>
      <c r="O160" s="1523"/>
      <c r="P160" s="1523"/>
      <c r="Q160" s="1523"/>
      <c r="R160" s="2002"/>
      <c r="S160" s="1523"/>
      <c r="T160" s="1523"/>
      <c r="U160" s="905"/>
      <c r="V160" s="1523"/>
      <c r="W160" s="1523"/>
      <c r="X160" s="1523"/>
      <c r="Y160" s="1523"/>
      <c r="Z160" s="1523"/>
      <c r="AA160" s="1998"/>
      <c r="AB160" s="927"/>
      <c r="AC160" s="927"/>
      <c r="AD160" s="927"/>
      <c r="AE160" s="927"/>
    </row>
    <row s="32338" customFormat="1" customHeight="1" ht="11.25">
      <c r="A161" s="1349"/>
      <c r="B161" s="2002"/>
      <c r="C161" s="2002"/>
      <c r="D161" s="712"/>
      <c r="K161" s="1523"/>
      <c r="L161" s="2002"/>
      <c r="M161" s="2002"/>
      <c r="N161" s="1523"/>
      <c r="O161" s="1523"/>
      <c r="P161" s="1523"/>
      <c r="Q161" s="1523"/>
      <c r="R161" s="2002"/>
      <c r="S161" s="1523"/>
      <c r="T161" s="1523"/>
      <c r="U161" s="905"/>
      <c r="V161" s="1523"/>
      <c r="W161" s="1523"/>
      <c r="X161" s="1523"/>
      <c r="Y161" s="1523"/>
      <c r="Z161" s="1523"/>
      <c r="AA161" s="1998"/>
      <c r="AB161" s="927"/>
      <c r="AC161" s="927"/>
      <c r="AD161" s="927"/>
      <c r="AE161" s="927"/>
    </row>
    <row s="32338" customFormat="1" customHeight="1" ht="11.25">
      <c r="A162" s="1349"/>
      <c r="B162" s="2002"/>
      <c r="C162" s="2002"/>
      <c r="D162" s="712"/>
      <c r="K162" s="1523"/>
      <c r="L162" s="2002"/>
      <c r="M162" s="2002"/>
      <c r="N162" s="1523"/>
      <c r="O162" s="1523"/>
      <c r="P162" s="1523"/>
      <c r="Q162" s="1523"/>
      <c r="R162" s="2002"/>
      <c r="S162" s="1523"/>
      <c r="T162" s="1523"/>
      <c r="U162" s="905"/>
      <c r="V162" s="1523"/>
      <c r="W162" s="1523"/>
      <c r="X162" s="1523"/>
      <c r="Y162" s="1523"/>
      <c r="Z162" s="1523"/>
      <c r="AA162" s="1998"/>
      <c r="AB162" s="927"/>
      <c r="AC162" s="927"/>
      <c r="AD162" s="927"/>
      <c r="AE162" s="927"/>
    </row>
    <row s="32338" customFormat="1" customHeight="1" ht="11.25">
      <c r="A163" s="1349"/>
      <c r="B163" s="2002"/>
      <c r="C163" s="2002"/>
      <c r="D163" s="712"/>
      <c r="K163" s="1523"/>
      <c r="L163" s="2002"/>
      <c r="M163" s="2002"/>
      <c r="N163" s="1523"/>
      <c r="O163" s="1523"/>
      <c r="P163" s="1523"/>
      <c r="Q163" s="1523"/>
      <c r="R163" s="2002"/>
      <c r="S163" s="1523"/>
      <c r="T163" s="1523"/>
      <c r="U163" s="905"/>
      <c r="V163" s="1523"/>
      <c r="W163" s="1523"/>
      <c r="X163" s="1523"/>
      <c r="Y163" s="1523"/>
      <c r="Z163" s="1523"/>
      <c r="AA163" s="1998"/>
      <c r="AB163" s="927"/>
      <c r="AC163" s="927"/>
      <c r="AD163" s="927"/>
      <c r="AE163" s="927"/>
    </row>
    <row s="32338" customFormat="1" customHeight="1" ht="11.25">
      <c r="A164" s="1349"/>
      <c r="B164" s="2002"/>
      <c r="C164" s="2002"/>
      <c r="D164" s="712"/>
      <c r="K164" s="1523"/>
      <c r="L164" s="2002"/>
      <c r="M164" s="2002"/>
      <c r="N164" s="1523"/>
      <c r="O164" s="1523"/>
      <c r="P164" s="1523"/>
      <c r="Q164" s="1523"/>
      <c r="R164" s="2002"/>
      <c r="S164" s="1523"/>
      <c r="T164" s="1523"/>
      <c r="U164" s="905"/>
      <c r="V164" s="1523"/>
      <c r="W164" s="1523"/>
      <c r="X164" s="1523"/>
      <c r="Y164" s="1523"/>
      <c r="Z164" s="1523"/>
      <c r="AA164" s="1998"/>
      <c r="AB164" s="927"/>
      <c r="AC164" s="927"/>
      <c r="AD164" s="927"/>
      <c r="AE164" s="927"/>
    </row>
    <row s="32338" customFormat="1" customHeight="1" ht="11.25">
      <c r="A165" s="1349"/>
      <c r="B165" s="2002"/>
      <c r="C165" s="2002"/>
      <c r="D165" s="712"/>
      <c r="K165" s="1523"/>
      <c r="L165" s="2002"/>
      <c r="M165" s="2002"/>
      <c r="N165" s="1523"/>
      <c r="O165" s="1523"/>
      <c r="P165" s="1523"/>
      <c r="Q165" s="1523"/>
      <c r="R165" s="2002"/>
      <c r="S165" s="1523"/>
      <c r="T165" s="1523"/>
      <c r="U165" s="905"/>
      <c r="V165" s="1523"/>
      <c r="W165" s="1523"/>
      <c r="X165" s="1523"/>
      <c r="Y165" s="1523"/>
      <c r="Z165" s="1523"/>
      <c r="AA165" s="1998"/>
      <c r="AB165" s="927"/>
      <c r="AC165" s="927"/>
      <c r="AD165" s="927"/>
      <c r="AE165" s="927"/>
    </row>
    <row s="32338" customFormat="1" customHeight="1" ht="11.25">
      <c r="A166" s="1349"/>
      <c r="B166" s="2002"/>
      <c r="C166" s="2002"/>
      <c r="D166" s="712"/>
      <c r="K166" s="1523"/>
      <c r="L166" s="2002"/>
      <c r="M166" s="2002"/>
      <c r="N166" s="1523"/>
      <c r="O166" s="1523"/>
      <c r="P166" s="1523"/>
      <c r="Q166" s="1523"/>
      <c r="R166" s="2002"/>
      <c r="S166" s="1523"/>
      <c r="T166" s="1523"/>
      <c r="U166" s="905"/>
      <c r="V166" s="1523"/>
      <c r="W166" s="1523"/>
      <c r="X166" s="1523"/>
      <c r="Y166" s="1523"/>
      <c r="Z166" s="1523"/>
      <c r="AA166" s="1998"/>
      <c r="AB166" s="927"/>
      <c r="AC166" s="927"/>
      <c r="AD166" s="927"/>
      <c r="AE166" s="927"/>
    </row>
    <row s="32338" customFormat="1" customHeight="1" ht="11.25">
      <c r="A167" s="1349"/>
      <c r="B167" s="2002"/>
      <c r="C167" s="2002"/>
      <c r="D167" s="712"/>
      <c r="K167" s="1523"/>
      <c r="L167" s="2002"/>
      <c r="M167" s="2002"/>
      <c r="N167" s="1523"/>
      <c r="O167" s="1523"/>
      <c r="P167" s="1523"/>
      <c r="Q167" s="1523"/>
      <c r="R167" s="2002"/>
      <c r="S167" s="1523"/>
      <c r="T167" s="1523"/>
      <c r="U167" s="905"/>
      <c r="V167" s="1523"/>
      <c r="W167" s="1523"/>
      <c r="X167" s="1523"/>
      <c r="Y167" s="1523"/>
      <c r="Z167" s="1523"/>
      <c r="AA167" s="1998"/>
      <c r="AB167" s="927"/>
      <c r="AC167" s="927"/>
      <c r="AD167" s="927"/>
      <c r="AE167" s="927"/>
    </row>
    <row s="32338" customFormat="1" customHeight="1" ht="11.25">
      <c r="A168" s="1349"/>
      <c r="B168" s="2002"/>
      <c r="C168" s="2002"/>
      <c r="D168" s="712"/>
      <c r="K168" s="1523"/>
      <c r="L168" s="2002"/>
      <c r="M168" s="2002"/>
      <c r="N168" s="1523"/>
      <c r="O168" s="1523"/>
      <c r="P168" s="1523"/>
      <c r="Q168" s="1523"/>
      <c r="R168" s="2002"/>
      <c r="S168" s="1523"/>
      <c r="T168" s="1523"/>
      <c r="U168" s="905"/>
      <c r="V168" s="1523"/>
      <c r="W168" s="1523"/>
      <c r="X168" s="1523"/>
      <c r="Y168" s="1523"/>
      <c r="Z168" s="1523"/>
      <c r="AA168" s="1998"/>
      <c r="AB168" s="927"/>
      <c r="AC168" s="927"/>
      <c r="AD168" s="927"/>
      <c r="AE168" s="927"/>
    </row>
    <row s="32338" customFormat="1" customHeight="1" ht="11.25">
      <c r="A169" s="1349"/>
      <c r="B169" s="2002"/>
      <c r="C169" s="2002"/>
      <c r="D169" s="712"/>
      <c r="K169" s="1523"/>
      <c r="L169" s="2002"/>
      <c r="M169" s="2002"/>
      <c r="N169" s="1523"/>
      <c r="O169" s="1523"/>
      <c r="P169" s="1523"/>
      <c r="Q169" s="1523"/>
      <c r="R169" s="2002"/>
      <c r="S169" s="1523"/>
      <c r="T169" s="1523"/>
      <c r="U169" s="905"/>
      <c r="V169" s="1523"/>
      <c r="W169" s="1523"/>
      <c r="X169" s="1523"/>
      <c r="Y169" s="1523"/>
      <c r="Z169" s="1523"/>
      <c r="AA169" s="1998"/>
      <c r="AB169" s="927"/>
      <c r="AC169" s="927"/>
      <c r="AD169" s="927"/>
      <c r="AE169" s="927"/>
    </row>
    <row s="32338" customFormat="1" customHeight="1" ht="11.25">
      <c r="A170" s="1349"/>
      <c r="B170" s="2002"/>
      <c r="C170" s="2002"/>
      <c r="D170" s="712"/>
      <c r="K170" s="1523"/>
      <c r="L170" s="2002"/>
      <c r="M170" s="2002"/>
      <c r="N170" s="1523"/>
      <c r="O170" s="1523"/>
      <c r="P170" s="1523"/>
      <c r="Q170" s="1523"/>
      <c r="R170" s="2002"/>
      <c r="S170" s="1523"/>
      <c r="T170" s="1523"/>
      <c r="U170" s="905"/>
      <c r="V170" s="1523"/>
      <c r="W170" s="1523"/>
      <c r="X170" s="1523"/>
      <c r="Y170" s="1523"/>
      <c r="Z170" s="1523"/>
      <c r="AA170" s="1998"/>
      <c r="AB170" s="927"/>
      <c r="AC170" s="927"/>
      <c r="AD170" s="927"/>
      <c r="AE170" s="927"/>
    </row>
    <row s="32338" customFormat="1" customHeight="1" ht="11.25">
      <c r="A171" s="1349"/>
      <c r="B171" s="2002"/>
      <c r="C171" s="2002"/>
      <c r="D171" s="712"/>
      <c r="K171" s="1523"/>
      <c r="L171" s="2002"/>
      <c r="M171" s="2002"/>
      <c r="N171" s="1523"/>
      <c r="O171" s="1523"/>
      <c r="P171" s="1523"/>
      <c r="Q171" s="1523"/>
      <c r="R171" s="2002"/>
      <c r="S171" s="1523"/>
      <c r="T171" s="1523"/>
      <c r="U171" s="905"/>
      <c r="V171" s="1523"/>
      <c r="W171" s="1523"/>
      <c r="X171" s="1523"/>
      <c r="Y171" s="1523"/>
      <c r="Z171" s="1523"/>
      <c r="AA171" s="1998"/>
      <c r="AB171" s="927"/>
      <c r="AC171" s="927"/>
      <c r="AD171" s="927"/>
      <c r="AE171" s="927"/>
    </row>
    <row s="32338" customFormat="1" customHeight="1" ht="11.25">
      <c r="A172" s="1349"/>
      <c r="B172" s="2002"/>
      <c r="C172" s="2002"/>
      <c r="D172" s="712"/>
      <c r="K172" s="1523"/>
      <c r="L172" s="2002"/>
      <c r="M172" s="2002"/>
      <c r="N172" s="1523"/>
      <c r="O172" s="1523"/>
      <c r="P172" s="1523"/>
      <c r="Q172" s="1523"/>
      <c r="R172" s="2002"/>
      <c r="S172" s="1523"/>
      <c r="T172" s="1523"/>
      <c r="U172" s="905"/>
      <c r="V172" s="1523"/>
      <c r="W172" s="1523"/>
      <c r="X172" s="1523"/>
      <c r="Y172" s="1523"/>
      <c r="Z172" s="1523"/>
      <c r="AA172" s="1998"/>
      <c r="AB172" s="927"/>
      <c r="AC172" s="927"/>
      <c r="AD172" s="927"/>
      <c r="AE172" s="927"/>
    </row>
    <row s="32338" customFormat="1" customHeight="1" ht="11.25">
      <c r="A173" s="1349"/>
      <c r="B173" s="2002"/>
      <c r="C173" s="2002"/>
      <c r="D173" s="712"/>
      <c r="K173" s="1523"/>
      <c r="L173" s="2002"/>
      <c r="M173" s="2002"/>
      <c r="N173" s="1523"/>
      <c r="O173" s="1523"/>
      <c r="P173" s="1523"/>
      <c r="Q173" s="1523"/>
      <c r="R173" s="2002"/>
      <c r="S173" s="1523"/>
      <c r="T173" s="1523"/>
      <c r="U173" s="905"/>
      <c r="V173" s="1523"/>
      <c r="W173" s="1523"/>
      <c r="X173" s="1523"/>
      <c r="Y173" s="1523"/>
      <c r="Z173" s="1523"/>
      <c r="AA173" s="1998"/>
      <c r="AB173" s="927"/>
      <c r="AC173" s="927"/>
      <c r="AD173" s="927"/>
      <c r="AE173" s="927"/>
    </row>
    <row s="32338" customFormat="1" customHeight="1" ht="11.25">
      <c r="A174" s="1349"/>
      <c r="B174" s="2002"/>
      <c r="C174" s="2002"/>
      <c r="D174" s="712"/>
      <c r="K174" s="1523"/>
      <c r="L174" s="2002"/>
      <c r="M174" s="2002"/>
      <c r="N174" s="1523"/>
      <c r="O174" s="1523"/>
      <c r="P174" s="1523"/>
      <c r="Q174" s="1523"/>
      <c r="R174" s="2002"/>
      <c r="S174" s="1523"/>
      <c r="T174" s="1523"/>
      <c r="U174" s="905"/>
      <c r="V174" s="1523"/>
      <c r="W174" s="1523"/>
      <c r="X174" s="1523"/>
      <c r="Y174" s="1523"/>
      <c r="Z174" s="1523"/>
      <c r="AA174" s="1998"/>
      <c r="AB174" s="927"/>
      <c r="AC174" s="927"/>
      <c r="AD174" s="927"/>
      <c r="AE174" s="927"/>
    </row>
    <row s="32338" customFormat="1" customHeight="1" ht="11.25">
      <c r="A175" s="1349"/>
      <c r="B175" s="2002"/>
      <c r="C175" s="2002"/>
      <c r="D175" s="712"/>
      <c r="K175" s="1523"/>
      <c r="L175" s="2002"/>
      <c r="M175" s="2002"/>
      <c r="N175" s="1523"/>
      <c r="O175" s="1523"/>
      <c r="P175" s="1523"/>
      <c r="Q175" s="1523"/>
      <c r="R175" s="2002"/>
      <c r="S175" s="1523"/>
      <c r="T175" s="1523"/>
      <c r="U175" s="905"/>
      <c r="V175" s="1523"/>
      <c r="W175" s="1523"/>
      <c r="X175" s="1523"/>
      <c r="Y175" s="1523"/>
      <c r="Z175" s="1523"/>
      <c r="AA175" s="1998"/>
      <c r="AB175" s="927"/>
      <c r="AC175" s="927"/>
      <c r="AD175" s="927"/>
      <c r="AE175" s="927"/>
    </row>
    <row s="32338" customFormat="1" customHeight="1" ht="11.25">
      <c r="A176" s="1349"/>
      <c r="B176" s="2002"/>
      <c r="C176" s="2002"/>
      <c r="D176" s="712"/>
      <c r="K176" s="1523"/>
      <c r="L176" s="2002"/>
      <c r="M176" s="2002"/>
      <c r="N176" s="1523"/>
      <c r="O176" s="1523"/>
      <c r="P176" s="1523"/>
      <c r="Q176" s="1523"/>
      <c r="R176" s="2002"/>
      <c r="S176" s="1523"/>
      <c r="T176" s="1523"/>
      <c r="U176" s="905"/>
      <c r="V176" s="1523"/>
      <c r="W176" s="1523"/>
      <c r="X176" s="1523"/>
      <c r="Y176" s="1523"/>
      <c r="Z176" s="1523"/>
      <c r="AA176" s="1998"/>
      <c r="AB176" s="927"/>
      <c r="AC176" s="927"/>
      <c r="AD176" s="927"/>
      <c r="AE176" s="927"/>
    </row>
    <row s="32338" customFormat="1" customHeight="1" ht="11.25">
      <c r="A177" s="1349"/>
      <c r="B177" s="2002"/>
      <c r="C177" s="2002"/>
      <c r="D177" s="712"/>
      <c r="K177" s="1523"/>
      <c r="L177" s="2002"/>
      <c r="M177" s="2002"/>
      <c r="N177" s="1523"/>
      <c r="O177" s="1523"/>
      <c r="P177" s="1523"/>
      <c r="Q177" s="1523"/>
      <c r="R177" s="2002"/>
      <c r="S177" s="1523"/>
      <c r="T177" s="1523"/>
      <c r="U177" s="905"/>
      <c r="V177" s="1523"/>
      <c r="W177" s="1523"/>
      <c r="X177" s="1523"/>
      <c r="Y177" s="1523"/>
      <c r="Z177" s="1523"/>
      <c r="AA177" s="1998"/>
      <c r="AB177" s="927"/>
      <c r="AC177" s="927"/>
      <c r="AD177" s="927"/>
      <c r="AE177" s="927"/>
    </row>
    <row s="32338" customFormat="1" customHeight="1" ht="11.25">
      <c r="A178" s="1349"/>
      <c r="B178" s="2002"/>
      <c r="C178" s="2002"/>
      <c r="D178" s="712"/>
      <c r="K178" s="1523"/>
      <c r="L178" s="2002"/>
      <c r="M178" s="2002"/>
      <c r="N178" s="1523"/>
      <c r="O178" s="1523"/>
      <c r="P178" s="1523"/>
      <c r="Q178" s="1523"/>
      <c r="R178" s="2002"/>
      <c r="S178" s="1523"/>
      <c r="T178" s="1523"/>
      <c r="U178" s="905"/>
      <c r="V178" s="1523"/>
      <c r="W178" s="1523"/>
      <c r="X178" s="1523"/>
      <c r="Y178" s="1523"/>
      <c r="Z178" s="1523"/>
      <c r="AA178" s="1998"/>
      <c r="AB178" s="927"/>
      <c r="AC178" s="927"/>
      <c r="AD178" s="927"/>
      <c r="AE178" s="927"/>
    </row>
    <row s="32338" customFormat="1" customHeight="1" ht="11.25">
      <c r="A179" s="1349"/>
      <c r="B179" s="2002"/>
      <c r="C179" s="2002"/>
      <c r="D179" s="712"/>
      <c r="K179" s="1523"/>
      <c r="L179" s="2002"/>
      <c r="M179" s="2002"/>
      <c r="N179" s="1523"/>
      <c r="O179" s="1523"/>
      <c r="P179" s="1523"/>
      <c r="Q179" s="1523"/>
      <c r="R179" s="2002"/>
      <c r="S179" s="1523"/>
      <c r="T179" s="1523"/>
      <c r="U179" s="905"/>
      <c r="V179" s="1523"/>
      <c r="W179" s="1523"/>
      <c r="X179" s="1523"/>
      <c r="Y179" s="1523"/>
      <c r="Z179" s="1523"/>
      <c r="AA179" s="1998"/>
      <c r="AB179" s="927"/>
      <c r="AC179" s="927"/>
      <c r="AD179" s="927"/>
      <c r="AE179" s="927"/>
    </row>
    <row s="32338" customFormat="1" customHeight="1" ht="11.25">
      <c r="A180" s="1349"/>
      <c r="B180" s="2002"/>
      <c r="C180" s="2002"/>
      <c r="D180" s="712"/>
      <c r="K180" s="1523"/>
      <c r="L180" s="2002"/>
      <c r="M180" s="2002"/>
      <c r="N180" s="1523"/>
      <c r="O180" s="1523"/>
      <c r="P180" s="1523"/>
      <c r="Q180" s="1523"/>
      <c r="R180" s="2002"/>
      <c r="S180" s="1523"/>
      <c r="T180" s="1523"/>
      <c r="U180" s="905"/>
      <c r="V180" s="1523"/>
      <c r="W180" s="1523"/>
      <c r="X180" s="1523"/>
      <c r="Y180" s="1523"/>
      <c r="Z180" s="1523"/>
      <c r="AA180" s="1998"/>
      <c r="AB180" s="927"/>
      <c r="AC180" s="927"/>
      <c r="AD180" s="927"/>
      <c r="AE180" s="927"/>
    </row>
    <row s="32338" customFormat="1" customHeight="1" ht="11.25">
      <c r="A181" s="1349"/>
      <c r="B181" s="2002"/>
      <c r="C181" s="2002"/>
      <c r="D181" s="712"/>
      <c r="K181" s="1523"/>
      <c r="L181" s="2002"/>
      <c r="M181" s="2002"/>
      <c r="N181" s="1523"/>
      <c r="O181" s="1523"/>
      <c r="P181" s="1523"/>
      <c r="Q181" s="1523"/>
      <c r="R181" s="2002"/>
      <c r="S181" s="1523"/>
      <c r="T181" s="1523"/>
      <c r="U181" s="905"/>
      <c r="V181" s="1523"/>
      <c r="W181" s="1523"/>
      <c r="X181" s="1523"/>
      <c r="Y181" s="1523"/>
      <c r="Z181" s="1523"/>
      <c r="AA181" s="1998"/>
      <c r="AB181" s="927"/>
      <c r="AC181" s="927"/>
      <c r="AD181" s="927"/>
      <c r="AE181" s="927"/>
    </row>
    <row s="32338" customFormat="1" customHeight="1" ht="11.25">
      <c r="A182" s="1349"/>
      <c r="B182" s="2002"/>
      <c r="C182" s="2002"/>
      <c r="D182" s="712"/>
      <c r="K182" s="1523"/>
      <c r="L182" s="2002"/>
      <c r="M182" s="2002"/>
      <c r="N182" s="1523"/>
      <c r="O182" s="1523"/>
      <c r="P182" s="1523"/>
      <c r="Q182" s="1523"/>
      <c r="R182" s="2002"/>
      <c r="S182" s="1523"/>
      <c r="T182" s="1523"/>
      <c r="U182" s="905"/>
      <c r="V182" s="1523"/>
      <c r="W182" s="1523"/>
      <c r="X182" s="1523"/>
      <c r="Y182" s="1523"/>
      <c r="Z182" s="1523"/>
      <c r="AA182" s="1998"/>
      <c r="AB182" s="927"/>
      <c r="AC182" s="927"/>
      <c r="AD182" s="927"/>
      <c r="AE182" s="927"/>
    </row>
    <row s="32338" customFormat="1" customHeight="1" ht="11.25">
      <c r="A183" s="1349"/>
      <c r="B183" s="2002"/>
      <c r="C183" s="2002"/>
      <c r="D183" s="712"/>
      <c r="K183" s="1523"/>
      <c r="L183" s="2002"/>
      <c r="M183" s="2002"/>
      <c r="N183" s="1523"/>
      <c r="O183" s="1523"/>
      <c r="P183" s="1523"/>
      <c r="Q183" s="1523"/>
      <c r="R183" s="2002"/>
      <c r="S183" s="1523"/>
      <c r="T183" s="1523"/>
      <c r="U183" s="905"/>
      <c r="V183" s="1523"/>
      <c r="W183" s="1523"/>
      <c r="X183" s="1523"/>
      <c r="Y183" s="1523"/>
      <c r="Z183" s="1523"/>
      <c r="AA183" s="1998"/>
      <c r="AB183" s="927"/>
      <c r="AC183" s="927"/>
      <c r="AD183" s="927"/>
      <c r="AE183" s="927"/>
    </row>
    <row s="32338" customFormat="1" customHeight="1" ht="11.25">
      <c r="A184" s="1349"/>
      <c r="B184" s="2002"/>
      <c r="C184" s="2002"/>
      <c r="D184" s="712"/>
      <c r="K184" s="1523"/>
      <c r="L184" s="2002"/>
      <c r="M184" s="2002"/>
      <c r="N184" s="1523"/>
      <c r="O184" s="1523"/>
      <c r="P184" s="1523"/>
      <c r="Q184" s="1523"/>
      <c r="R184" s="2002"/>
      <c r="S184" s="1523"/>
      <c r="T184" s="1523"/>
      <c r="U184" s="905"/>
      <c r="V184" s="1523"/>
      <c r="W184" s="1523"/>
      <c r="X184" s="1523"/>
      <c r="Y184" s="1523"/>
      <c r="Z184" s="1523"/>
      <c r="AA184" s="1998"/>
      <c r="AB184" s="927"/>
      <c r="AC184" s="927"/>
      <c r="AD184" s="927"/>
      <c r="AE184" s="927"/>
    </row>
    <row s="32338" customFormat="1" customHeight="1" ht="11.25">
      <c r="A185" s="1349"/>
      <c r="B185" s="2002"/>
      <c r="C185" s="2002"/>
      <c r="D185" s="712"/>
      <c r="K185" s="1523"/>
      <c r="L185" s="2002"/>
      <c r="M185" s="2002"/>
      <c r="N185" s="1523"/>
      <c r="O185" s="1523"/>
      <c r="P185" s="1523"/>
      <c r="Q185" s="1523"/>
      <c r="R185" s="2002"/>
      <c r="S185" s="1523"/>
      <c r="T185" s="1523"/>
      <c r="U185" s="905"/>
      <c r="V185" s="1523"/>
      <c r="W185" s="1523"/>
      <c r="X185" s="1523"/>
      <c r="Y185" s="1523"/>
      <c r="Z185" s="1523"/>
      <c r="AA185" s="1998"/>
      <c r="AB185" s="927"/>
      <c r="AC185" s="927"/>
      <c r="AD185" s="927"/>
      <c r="AE185" s="927"/>
    </row>
    <row s="32338" customFormat="1" customHeight="1" ht="11.25">
      <c r="A186" s="1349"/>
      <c r="B186" s="2002"/>
      <c r="C186" s="2002"/>
      <c r="D186" s="712"/>
      <c r="K186" s="1523"/>
      <c r="L186" s="2002"/>
      <c r="M186" s="2002"/>
      <c r="N186" s="1523"/>
      <c r="O186" s="1523"/>
      <c r="P186" s="1523"/>
      <c r="Q186" s="1523"/>
      <c r="R186" s="2002"/>
      <c r="S186" s="1523"/>
      <c r="T186" s="1523"/>
      <c r="U186" s="905"/>
      <c r="V186" s="1523"/>
      <c r="W186" s="1523"/>
      <c r="X186" s="1523"/>
      <c r="Y186" s="1523"/>
      <c r="Z186" s="1523"/>
      <c r="AA186" s="1998"/>
      <c r="AB186" s="927"/>
      <c r="AC186" s="927"/>
      <c r="AD186" s="927"/>
      <c r="AE186" s="927"/>
    </row>
    <row s="32338" customFormat="1" customHeight="1" ht="11.25">
      <c r="A187" s="1349"/>
      <c r="B187" s="2002"/>
      <c r="C187" s="2002"/>
      <c r="D187" s="712"/>
      <c r="K187" s="1523"/>
      <c r="L187" s="2002"/>
      <c r="M187" s="2002"/>
      <c r="N187" s="1523"/>
      <c r="O187" s="1523"/>
      <c r="P187" s="1523"/>
      <c r="Q187" s="1523"/>
      <c r="R187" s="2002"/>
      <c r="S187" s="1523"/>
      <c r="T187" s="1523"/>
      <c r="U187" s="905"/>
      <c r="V187" s="1523"/>
      <c r="W187" s="1523"/>
      <c r="X187" s="1523"/>
      <c r="Y187" s="1523"/>
      <c r="Z187" s="1523"/>
      <c r="AA187" s="1998"/>
      <c r="AB187" s="927"/>
      <c r="AC187" s="927"/>
      <c r="AD187" s="927"/>
      <c r="AE187" s="927"/>
    </row>
    <row s="32338" customFormat="1" customHeight="1" ht="11.25">
      <c r="A188" s="1349"/>
      <c r="B188" s="2002"/>
      <c r="C188" s="2002"/>
      <c r="D188" s="712"/>
      <c r="K188" s="1523"/>
      <c r="L188" s="2002"/>
      <c r="M188" s="2002"/>
      <c r="N188" s="1523"/>
      <c r="O188" s="1523"/>
      <c r="P188" s="1523"/>
      <c r="Q188" s="1523"/>
      <c r="R188" s="2002"/>
      <c r="S188" s="1523"/>
      <c r="T188" s="1523"/>
      <c r="U188" s="905"/>
      <c r="V188" s="1523"/>
      <c r="W188" s="1523"/>
      <c r="X188" s="1523"/>
      <c r="Y188" s="1523"/>
      <c r="Z188" s="1523"/>
      <c r="AA188" s="1998"/>
      <c r="AB188" s="927"/>
      <c r="AC188" s="927"/>
      <c r="AD188" s="927"/>
      <c r="AE188" s="927"/>
    </row>
    <row s="32338" customFormat="1" customHeight="1" ht="11.25">
      <c r="A189" s="1349"/>
      <c r="B189" s="2002"/>
      <c r="C189" s="2002"/>
      <c r="D189" s="712"/>
      <c r="K189" s="1523"/>
      <c r="L189" s="2002"/>
      <c r="M189" s="2002"/>
      <c r="N189" s="1523"/>
      <c r="O189" s="1523"/>
      <c r="P189" s="1523"/>
      <c r="Q189" s="1523"/>
      <c r="R189" s="2002"/>
      <c r="S189" s="1523"/>
      <c r="T189" s="1523"/>
      <c r="U189" s="905"/>
      <c r="V189" s="1523"/>
      <c r="W189" s="1523"/>
      <c r="X189" s="1523"/>
      <c r="Y189" s="1523"/>
      <c r="Z189" s="1523"/>
      <c r="AA189" s="1998"/>
      <c r="AB189" s="927"/>
      <c r="AC189" s="927"/>
      <c r="AD189" s="927"/>
      <c r="AE189" s="927"/>
    </row>
    <row s="32338" customFormat="1" customHeight="1" ht="11.25">
      <c r="A190" s="1349"/>
      <c r="B190" s="2002"/>
      <c r="C190" s="2002"/>
      <c r="D190" s="712"/>
      <c r="K190" s="1523"/>
      <c r="L190" s="2002"/>
      <c r="M190" s="2002"/>
      <c r="N190" s="1523"/>
      <c r="O190" s="1523"/>
      <c r="P190" s="1523"/>
      <c r="Q190" s="1523"/>
      <c r="R190" s="2002"/>
      <c r="S190" s="1523"/>
      <c r="T190" s="1523"/>
      <c r="U190" s="905"/>
      <c r="V190" s="1523"/>
      <c r="W190" s="1523"/>
      <c r="X190" s="1523"/>
      <c r="Y190" s="1523"/>
      <c r="Z190" s="1523"/>
      <c r="AA190" s="1998"/>
      <c r="AB190" s="927"/>
      <c r="AC190" s="927"/>
      <c r="AD190" s="927"/>
      <c r="AE190" s="927"/>
    </row>
    <row s="32338" customFormat="1" customHeight="1" ht="11.25">
      <c r="A191" s="1349"/>
      <c r="B191" s="2002"/>
      <c r="C191" s="2002"/>
      <c r="D191" s="712"/>
      <c r="K191" s="1523"/>
      <c r="L191" s="2002"/>
      <c r="M191" s="2002"/>
      <c r="N191" s="1523"/>
      <c r="O191" s="1523"/>
      <c r="P191" s="1523"/>
      <c r="Q191" s="1523"/>
      <c r="R191" s="2002"/>
      <c r="S191" s="1523"/>
      <c r="T191" s="1523"/>
      <c r="U191" s="905"/>
      <c r="V191" s="1523"/>
      <c r="W191" s="1523"/>
      <c r="X191" s="1523"/>
      <c r="Y191" s="1523"/>
      <c r="Z191" s="1523"/>
      <c r="AA191" s="1998"/>
      <c r="AB191" s="927"/>
      <c r="AC191" s="927"/>
      <c r="AD191" s="927"/>
      <c r="AE191" s="927"/>
    </row>
    <row s="32338" customFormat="1" customHeight="1" ht="11.25">
      <c r="A192" s="1349"/>
      <c r="B192" s="2002"/>
      <c r="C192" s="2002"/>
      <c r="D192" s="712"/>
      <c r="K192" s="1523"/>
      <c r="L192" s="2002"/>
      <c r="M192" s="2002"/>
      <c r="N192" s="1523"/>
      <c r="O192" s="1523"/>
      <c r="P192" s="1523"/>
      <c r="Q192" s="1523"/>
      <c r="R192" s="2002"/>
      <c r="S192" s="1523"/>
      <c r="T192" s="1523"/>
      <c r="U192" s="905"/>
      <c r="V192" s="1523"/>
      <c r="W192" s="1523"/>
      <c r="X192" s="1523"/>
      <c r="Y192" s="1523"/>
      <c r="Z192" s="1523"/>
      <c r="AA192" s="1998"/>
      <c r="AB192" s="927"/>
      <c r="AC192" s="927"/>
      <c r="AD192" s="927"/>
      <c r="AE192" s="927"/>
    </row>
    <row s="32338" customFormat="1" customHeight="1" ht="11.25">
      <c r="A193" s="1349"/>
      <c r="B193" s="2002"/>
      <c r="C193" s="2002"/>
      <c r="D193" s="712"/>
      <c r="K193" s="1523"/>
      <c r="L193" s="2002"/>
      <c r="M193" s="2002"/>
      <c r="N193" s="1523"/>
      <c r="O193" s="1523"/>
      <c r="P193" s="1523"/>
      <c r="Q193" s="1523"/>
      <c r="R193" s="2002"/>
      <c r="S193" s="1523"/>
      <c r="T193" s="1523"/>
      <c r="U193" s="905"/>
      <c r="V193" s="1523"/>
      <c r="W193" s="1523"/>
      <c r="X193" s="1523"/>
      <c r="Y193" s="1523"/>
      <c r="Z193" s="1523"/>
      <c r="AA193" s="1998"/>
      <c r="AB193" s="927"/>
      <c r="AC193" s="927"/>
      <c r="AD193" s="927"/>
      <c r="AE193" s="927"/>
    </row>
    <row s="32338" customFormat="1" customHeight="1" ht="11.25">
      <c r="A194" s="1349"/>
      <c r="B194" s="2002"/>
      <c r="C194" s="2002"/>
      <c r="D194" s="712"/>
      <c r="K194" s="1523"/>
      <c r="L194" s="2002"/>
      <c r="M194" s="2002"/>
      <c r="N194" s="1523"/>
      <c r="O194" s="1523"/>
      <c r="P194" s="1523"/>
      <c r="Q194" s="1523"/>
      <c r="R194" s="2002"/>
      <c r="S194" s="1523"/>
      <c r="T194" s="1523"/>
      <c r="U194" s="905"/>
      <c r="V194" s="1523"/>
      <c r="W194" s="1523"/>
      <c r="X194" s="1523"/>
      <c r="Y194" s="1523"/>
      <c r="Z194" s="1523"/>
      <c r="AA194" s="1998"/>
      <c r="AB194" s="927"/>
      <c r="AC194" s="927"/>
      <c r="AD194" s="927"/>
      <c r="AE194" s="927"/>
    </row>
    <row s="32338" customFormat="1" customHeight="1" ht="11.25">
      <c r="A195" s="1349"/>
      <c r="B195" s="2002"/>
      <c r="C195" s="2002"/>
      <c r="D195" s="712"/>
      <c r="K195" s="1523"/>
      <c r="L195" s="2002"/>
      <c r="M195" s="2002"/>
      <c r="N195" s="1523"/>
      <c r="O195" s="1523"/>
      <c r="P195" s="1523"/>
      <c r="Q195" s="1523"/>
      <c r="R195" s="2002"/>
      <c r="S195" s="1523"/>
      <c r="T195" s="1523"/>
      <c r="U195" s="905"/>
      <c r="V195" s="1523"/>
      <c r="W195" s="1523"/>
      <c r="X195" s="1523"/>
      <c r="Y195" s="1523"/>
      <c r="Z195" s="1523"/>
      <c r="AA195" s="1998"/>
      <c r="AB195" s="927"/>
      <c r="AC195" s="927"/>
      <c r="AD195" s="927"/>
      <c r="AE195" s="927"/>
    </row>
    <row r="199" customHeight="1" ht="11.25">
      <c r="A199" s="1352"/>
      <c r="B199" s="1997"/>
      <c r="D199" s="1997"/>
      <c r="K199" s="1997"/>
      <c r="N199" s="1997"/>
      <c r="O199" s="1997"/>
      <c r="P199" s="1997"/>
      <c r="Q199" s="1997"/>
      <c r="S199" s="1997"/>
      <c r="T199" s="1997"/>
      <c r="U199" s="1997"/>
      <c r="V199" s="1997"/>
      <c r="W199" s="1997"/>
      <c r="X199" s="1997"/>
      <c r="Y199" s="1997"/>
      <c r="Z199" s="1997"/>
      <c r="AA199" s="1997"/>
      <c r="AB199" s="1997"/>
      <c r="AC199" s="1997"/>
      <c r="AD199" s="1997"/>
      <c r="AE199" s="1997"/>
    </row>
    <row customHeight="1" ht="11.25">
      <c r="A200" s="1352"/>
      <c r="B200" s="1997"/>
      <c r="D200" s="1997"/>
      <c r="K200" s="1997"/>
      <c r="N200" s="1997"/>
      <c r="O200" s="1997"/>
      <c r="P200" s="1997"/>
      <c r="Q200" s="1997"/>
      <c r="S200" s="1997"/>
      <c r="T200" s="1997"/>
      <c r="U200" s="1997"/>
      <c r="V200" s="1997"/>
      <c r="W200" s="1997"/>
      <c r="X200" s="1997"/>
      <c r="Y200" s="1997"/>
      <c r="Z200" s="1997"/>
      <c r="AA200" s="1997"/>
      <c r="AB200" s="1997"/>
      <c r="AC200" s="1997"/>
      <c r="AD200" s="1997"/>
      <c r="AE200" s="1997"/>
    </row>
    <row customHeight="1" ht="11.25">
      <c r="A201" s="1352"/>
      <c r="B201" s="1997"/>
      <c r="D201" s="1997"/>
      <c r="K201" s="1997"/>
      <c r="N201" s="1997"/>
      <c r="O201" s="1997"/>
      <c r="P201" s="1997"/>
      <c r="Q201" s="1997"/>
      <c r="S201" s="1997"/>
      <c r="T201" s="1997"/>
      <c r="U201" s="1997"/>
      <c r="V201" s="1997"/>
      <c r="W201" s="1997"/>
      <c r="X201" s="1997"/>
      <c r="Y201" s="1997"/>
      <c r="Z201" s="1997"/>
      <c r="AA201" s="1997"/>
      <c r="AB201" s="1997"/>
      <c r="AC201" s="1997"/>
      <c r="AD201" s="1997"/>
      <c r="AE201" s="1997"/>
    </row>
    <row customHeight="1" ht="11.25">
      <c r="A202" s="1352"/>
      <c r="B202" s="1997"/>
      <c r="D202" s="1997"/>
      <c r="K202" s="1997"/>
      <c r="N202" s="1997"/>
      <c r="O202" s="1997"/>
      <c r="P202" s="1997"/>
      <c r="Q202" s="1997"/>
      <c r="S202" s="1997"/>
      <c r="T202" s="1997"/>
      <c r="U202" s="1997"/>
      <c r="V202" s="1997"/>
      <c r="W202" s="1997"/>
      <c r="X202" s="1997"/>
      <c r="Y202" s="1997"/>
      <c r="Z202" s="1997"/>
      <c r="AA202" s="1997"/>
      <c r="AB202" s="1997"/>
      <c r="AC202" s="1997"/>
      <c r="AD202" s="1997"/>
      <c r="AE202" s="1997"/>
    </row>
    <row customHeight="1" ht="11.25">
      <c r="A203" s="1352"/>
      <c r="B203" s="1997"/>
      <c r="D203" s="1997"/>
      <c r="K203" s="1997"/>
      <c r="N203" s="1997"/>
      <c r="O203" s="1997"/>
      <c r="P203" s="1997"/>
      <c r="Q203" s="1997"/>
      <c r="S203" s="1997"/>
      <c r="T203" s="1997"/>
      <c r="U203" s="1997"/>
      <c r="V203" s="1997"/>
      <c r="W203" s="1997"/>
      <c r="X203" s="1997"/>
      <c r="Y203" s="1997"/>
      <c r="Z203" s="1997"/>
      <c r="AA203" s="1997"/>
      <c r="AB203" s="1997"/>
      <c r="AC203" s="1997"/>
      <c r="AD203" s="1997"/>
      <c r="AE203" s="1997"/>
    </row>
    <row customHeight="1" ht="11.25">
      <c r="A204" s="1352"/>
      <c r="B204" s="1997"/>
      <c r="D204" s="1997"/>
      <c r="K204" s="1997"/>
      <c r="N204" s="1997"/>
      <c r="O204" s="1997"/>
      <c r="P204" s="1997"/>
      <c r="Q204" s="1997"/>
      <c r="S204" s="1997"/>
      <c r="T204" s="1997"/>
      <c r="U204" s="1997"/>
      <c r="V204" s="1997"/>
      <c r="W204" s="1997"/>
      <c r="X204" s="1997"/>
      <c r="Y204" s="1997"/>
      <c r="Z204" s="1997"/>
      <c r="AA204" s="1997"/>
      <c r="AB204" s="1997"/>
      <c r="AC204" s="1997"/>
      <c r="AD204" s="1997"/>
      <c r="AE204" s="1997"/>
    </row>
    <row customHeight="1" ht="11.25">
      <c r="A205" s="1352"/>
      <c r="B205" s="1997"/>
      <c r="D205" s="1997"/>
      <c r="K205" s="1997"/>
      <c r="N205" s="1997"/>
      <c r="O205" s="1997"/>
      <c r="P205" s="1997"/>
      <c r="Q205" s="1997"/>
      <c r="S205" s="1997"/>
      <c r="T205" s="1997"/>
      <c r="U205" s="1997"/>
      <c r="V205" s="1997"/>
      <c r="W205" s="1997"/>
      <c r="X205" s="1997"/>
      <c r="Y205" s="1997"/>
      <c r="Z205" s="1997"/>
      <c r="AA205" s="1997"/>
      <c r="AB205" s="1997"/>
      <c r="AC205" s="1997"/>
      <c r="AD205" s="1997"/>
      <c r="AE205" s="1997"/>
    </row>
    <row customHeight="1" ht="11.25">
      <c r="A206" s="1352"/>
      <c r="B206" s="1997"/>
      <c r="D206" s="1997"/>
      <c r="K206" s="1997"/>
      <c r="N206" s="1997"/>
      <c r="O206" s="1997"/>
      <c r="P206" s="1997"/>
      <c r="Q206" s="1997"/>
      <c r="S206" s="1997"/>
      <c r="T206" s="1997"/>
      <c r="U206" s="1997"/>
      <c r="V206" s="1997"/>
      <c r="W206" s="1997"/>
      <c r="X206" s="1997"/>
      <c r="Y206" s="1997"/>
      <c r="Z206" s="1997"/>
      <c r="AA206" s="1997"/>
      <c r="AB206" s="1997"/>
      <c r="AC206" s="1997"/>
      <c r="AD206" s="1997"/>
      <c r="AE206" s="1997"/>
    </row>
    <row customHeight="1" ht="11.25">
      <c r="A207" s="1352"/>
      <c r="B207" s="1997"/>
      <c r="D207" s="1997"/>
      <c r="K207" s="1997"/>
      <c r="N207" s="1997"/>
      <c r="O207" s="1997"/>
      <c r="P207" s="1997"/>
      <c r="Q207" s="1997"/>
      <c r="S207" s="1997"/>
      <c r="T207" s="1997"/>
      <c r="U207" s="1997"/>
      <c r="V207" s="1997"/>
      <c r="W207" s="1997"/>
      <c r="X207" s="1997"/>
      <c r="Y207" s="1997"/>
      <c r="Z207" s="1997"/>
      <c r="AA207" s="1997"/>
      <c r="AB207" s="1997"/>
      <c r="AC207" s="1997"/>
      <c r="AD207" s="1997"/>
      <c r="AE207" s="1997"/>
    </row>
    <row customHeight="1" ht="11.25">
      <c r="A208" s="1352"/>
      <c r="B208" s="1997"/>
      <c r="D208" s="1997"/>
      <c r="K208" s="1997"/>
      <c r="N208" s="1997"/>
      <c r="O208" s="1997"/>
      <c r="P208" s="1997"/>
      <c r="Q208" s="1997"/>
      <c r="S208" s="1997"/>
      <c r="T208" s="1997"/>
      <c r="U208" s="1997"/>
      <c r="V208" s="1997"/>
      <c r="W208" s="1997"/>
      <c r="X208" s="1997"/>
      <c r="Y208" s="1997"/>
      <c r="Z208" s="1997"/>
      <c r="AA208" s="1997"/>
      <c r="AB208" s="1997"/>
      <c r="AC208" s="1997"/>
      <c r="AD208" s="1997"/>
      <c r="AE208" s="1997"/>
    </row>
    <row customHeight="1" ht="11.25">
      <c r="A209" s="1352"/>
      <c r="B209" s="1997"/>
      <c r="D209" s="1997"/>
      <c r="K209" s="1997"/>
      <c r="N209" s="1997"/>
      <c r="O209" s="1997"/>
      <c r="P209" s="1997"/>
      <c r="Q209" s="1997"/>
      <c r="S209" s="1997"/>
      <c r="T209" s="1997"/>
      <c r="U209" s="1997"/>
      <c r="V209" s="1997"/>
      <c r="W209" s="1997"/>
      <c r="X209" s="1997"/>
      <c r="Y209" s="1997"/>
      <c r="Z209" s="1997"/>
      <c r="AA209" s="1997"/>
      <c r="AB209" s="1997"/>
      <c r="AC209" s="1997"/>
      <c r="AD209" s="1997"/>
      <c r="AE209" s="1997"/>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F69A53-3E4B-B0A8-13A2-D03625B5ED92}"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37045" width="9.140625" hidden="1" customWidth="1"/>
    <col min="2" max="2" style="32289" width="3.57421875" hidden="1" customWidth="1"/>
    <col min="3" max="3" style="32073" width="3.7109375" customWidth="1"/>
    <col min="4" max="4" style="32073" width="7.7109375" customWidth="1"/>
    <col min="5" max="5" style="32073" width="69.8515625" customWidth="1"/>
    <col min="6" max="6" style="32073" width="11.140625" customWidth="1"/>
    <col min="7" max="8" style="32073" width="44.00390625" hidden="1" customWidth="1"/>
    <col min="9" max="10" style="31547" width="44.00390625" customWidth="1"/>
    <col min="11" max="11" style="32073" width="74.00390625" customWidth="1"/>
    <col min="12" max="12" style="32073" width="3.7109375" customWidth="1"/>
    <col min="13" max="23" style="32073" width="10.57421875"/>
  </cols>
  <sheetData>
    <row s="31548" customFormat="1" customHeight="1" ht="11.25" hidden="1">
      <c r="A1" s="897"/>
      <c r="B1" s="872"/>
      <c r="G1" s="778">
        <v>4</v>
      </c>
      <c r="I1" s="778">
        <v>4</v>
      </c>
      <c r="K1" s="778">
        <v>5</v>
      </c>
    </row>
    <row customHeight="1" ht="3"/>
    <row customHeight="1" ht="75">
      <c r="D3" s="251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512"/>
      <c r="F3" s="2513"/>
    </row>
    <row s="31547" customFormat="1" customHeight="1" ht="20.25">
      <c r="A4" s="1313"/>
      <c r="B4" s="872"/>
      <c r="D4" s="2499" t="str">
        <f>IF(org=0,"Не определено",org)</f>
        <v>АО "Мурманэнергосбыт"</v>
      </c>
      <c r="E4" s="2500"/>
      <c r="F4" s="2501"/>
    </row>
    <row customHeight="1" ht="11.25">
      <c r="C5" s="870"/>
      <c r="D5" s="949"/>
      <c r="E5" s="949"/>
      <c r="F5" s="949"/>
      <c r="G5" s="949"/>
      <c r="H5" s="1113"/>
      <c r="I5" s="949"/>
      <c r="J5" s="1113"/>
      <c r="K5" s="949"/>
    </row>
    <row customHeight="1" ht="0.75">
      <c r="C6" s="870"/>
      <c r="D6" s="870"/>
      <c r="E6" s="883"/>
      <c r="F6" s="975"/>
      <c r="G6" s="1384"/>
      <c r="H6" s="1384"/>
      <c r="I6" s="1384" t="s">
        <v>125</v>
      </c>
      <c r="J6" s="1384"/>
    </row>
    <row customHeight="1" ht="11.25">
      <c r="D7" s="1072"/>
      <c r="E7" s="2636" t="s">
        <v>114</v>
      </c>
      <c r="F7" s="2637"/>
      <c r="G7" s="2653" t="str">
        <f>IF(G6="","",INDEX(DIFFERENTIATION_UNMERGE_VD,MATCH(G6,DIFFERENTIATION_ID_DIFF,0)))</f>
        <v/>
      </c>
      <c r="H7" s="2654"/>
      <c r="I7" s="2653">
        <f>IF(I6="","",INDEX(DIFFERENTIATION_UNMERGE_VD,MATCH(I6,DIFFERENTIATION_ID_DIFF,0)))</f>
        <v>0</v>
      </c>
      <c r="J7" s="2654"/>
      <c r="K7" s="2449"/>
      <c r="L7" s="870"/>
    </row>
    <row customHeight="1" ht="11.25">
      <c r="A8" s="1065"/>
      <c r="D8" s="1072"/>
      <c r="E8" s="2636" t="s">
        <v>605</v>
      </c>
      <c r="F8" s="2637"/>
      <c r="G8" s="2653" t="str">
        <f>IF(G6="","",INDEX(DIFFERENTIATION_UNMERGE_AREA,MATCH(G6,DIFFERENTIATION_ID_DIFF,0)))</f>
        <v/>
      </c>
      <c r="H8" s="2654"/>
      <c r="I8" s="2653" t="str">
        <f>IF(I6="","",INDEX(DIFFERENTIATION_UNMERGE_AREA,MATCH(I6,DIFFERENTIATION_ID_DIFF,0)))</f>
        <v/>
      </c>
      <c r="J8" s="2654"/>
      <c r="K8" s="2457"/>
      <c r="L8" s="870"/>
    </row>
    <row customHeight="1" ht="11.25">
      <c r="A9" s="1065"/>
      <c r="D9" s="1072"/>
      <c r="E9" s="2636" t="s">
        <v>606</v>
      </c>
      <c r="F9" s="2637"/>
      <c r="G9" s="2653" t="str">
        <f>IF(G6="","",INDEX(DIFFERENTIATION_UNMERGE_SYSTEM,MATCH(G6,DIFFERENTIATION_ID_DIFF,0)))</f>
        <v/>
      </c>
      <c r="H9" s="2654"/>
      <c r="I9" s="2653" t="str">
        <f>IF(I6="","",INDEX(DIFFERENTIATION_UNMERGE_SYSTEM,MATCH(I6,DIFFERENTIATION_ID_DIFF,0)))</f>
        <v>без дифференциации</v>
      </c>
      <c r="J9" s="2654"/>
      <c r="K9" s="2457"/>
      <c r="L9" s="870"/>
    </row>
    <row s="31547" customFormat="1" customHeight="1" ht="11.25">
      <c r="A10" s="1383"/>
      <c r="B10" s="872"/>
      <c r="D10" s="2376" t="s">
        <v>341</v>
      </c>
      <c r="E10" s="2377"/>
      <c r="F10" s="2377"/>
      <c r="G10" s="2377"/>
      <c r="H10" s="2377"/>
      <c r="I10" s="2377"/>
      <c r="J10" s="2378"/>
      <c r="K10" s="2457"/>
      <c r="L10" s="870"/>
    </row>
    <row s="36887" customFormat="1" customHeight="1" ht="22.5">
      <c r="A11" s="2656"/>
      <c r="B11" s="2656"/>
      <c r="C11" s="1018"/>
      <c r="D11" s="1064" t="s">
        <v>87</v>
      </c>
      <c r="E11" s="1066" t="s">
        <v>762</v>
      </c>
      <c r="F11" s="1066" t="s">
        <v>607</v>
      </c>
      <c r="G11" s="826" t="s">
        <v>344</v>
      </c>
      <c r="H11" s="826" t="s">
        <v>431</v>
      </c>
      <c r="I11" s="1168" t="s">
        <v>344</v>
      </c>
      <c r="J11" s="1169" t="s">
        <v>431</v>
      </c>
      <c r="K11" s="2510"/>
      <c r="L11" s="1019"/>
    </row>
    <row s="32289" customFormat="1" customHeight="1" ht="10.5">
      <c r="A12" s="1314"/>
      <c r="D12" s="1387" t="s">
        <v>118</v>
      </c>
      <c r="E12" s="1387" t="s">
        <v>102</v>
      </c>
      <c r="F12" s="1387" t="s">
        <v>89</v>
      </c>
      <c r="G12" s="1388" t="str">
        <f>G1&amp;".1"</f>
        <v>4.1</v>
      </c>
      <c r="H12" s="1388" t="str">
        <f>G1&amp;".2"</f>
        <v>4.2</v>
      </c>
      <c r="I12" s="1388" t="str">
        <f>I1&amp;".1"</f>
        <v>4.1</v>
      </c>
      <c r="J12" s="1388" t="str">
        <f>I1&amp;".2"</f>
        <v>4.2</v>
      </c>
      <c r="K12" s="1388"/>
    </row>
    <row customHeight="1" ht="22.5" hidden="1">
      <c r="A13" s="2655" t="s">
        <v>763</v>
      </c>
      <c r="D13" s="1315" t="s">
        <v>118</v>
      </c>
      <c r="E13" s="640" t="s">
        <v>764</v>
      </c>
      <c r="F13" s="1021" t="s">
        <v>765</v>
      </c>
      <c r="G13" s="918"/>
      <c r="H13" s="1022"/>
      <c r="I13" s="918"/>
      <c r="J13" s="1022"/>
      <c r="K13" s="650" t="s">
        <v>766</v>
      </c>
      <c r="L13" s="1081"/>
    </row>
    <row customHeight="1" ht="22.5" hidden="1">
      <c r="A14" s="2655"/>
      <c r="D14" s="900" t="s">
        <v>102</v>
      </c>
      <c r="E14" s="640" t="s">
        <v>767</v>
      </c>
      <c r="F14" s="1021" t="s">
        <v>768</v>
      </c>
      <c r="G14" s="918"/>
      <c r="H14" s="1023"/>
      <c r="I14" s="918"/>
      <c r="J14" s="1023"/>
      <c r="K14" s="650" t="s">
        <v>769</v>
      </c>
      <c r="L14" s="1081"/>
    </row>
    <row s="31547" customFormat="1" customHeight="1" ht="78.75" hidden="1">
      <c r="A15" s="2655"/>
      <c r="B15" s="872"/>
      <c r="D15" s="1315" t="s">
        <v>89</v>
      </c>
      <c r="E15" s="1068" t="s">
        <v>770</v>
      </c>
      <c r="F15" s="1312" t="s">
        <v>347</v>
      </c>
      <c r="G15" s="1312" t="s">
        <v>347</v>
      </c>
      <c r="H15" s="468"/>
      <c r="I15" s="1312" t="s">
        <v>347</v>
      </c>
      <c r="J15" s="468"/>
      <c r="K15" s="650" t="s">
        <v>771</v>
      </c>
      <c r="L15" s="1081"/>
    </row>
    <row s="31547" customFormat="1" customHeight="1" ht="22.5" hidden="1">
      <c r="A16" s="2655"/>
      <c r="B16" s="872"/>
      <c r="D16" s="1315" t="s">
        <v>365</v>
      </c>
      <c r="E16" s="1316" t="s">
        <v>772</v>
      </c>
      <c r="F16" s="1312" t="s">
        <v>773</v>
      </c>
      <c r="G16" s="1178"/>
      <c r="H16" s="468"/>
      <c r="I16" s="1178"/>
      <c r="J16" s="468"/>
      <c r="K16" s="650"/>
      <c r="L16" s="1081"/>
    </row>
    <row s="31547" customFormat="1" customHeight="1" ht="22.5" hidden="1">
      <c r="A17" s="2655"/>
      <c r="B17" s="872"/>
      <c r="D17" s="1315" t="s">
        <v>373</v>
      </c>
      <c r="E17" s="1316" t="s">
        <v>774</v>
      </c>
      <c r="F17" s="1312" t="s">
        <v>775</v>
      </c>
      <c r="G17" s="1178"/>
      <c r="H17" s="468"/>
      <c r="I17" s="1178"/>
      <c r="J17" s="468"/>
      <c r="K17" s="650"/>
      <c r="L17" s="1081"/>
    </row>
    <row s="31547" customFormat="1" customHeight="1" ht="33.75" hidden="1">
      <c r="A18" s="2655"/>
      <c r="B18" s="872"/>
      <c r="D18" s="1315" t="s">
        <v>375</v>
      </c>
      <c r="E18" s="1316" t="s">
        <v>776</v>
      </c>
      <c r="F18" s="1312" t="s">
        <v>612</v>
      </c>
      <c r="G18" s="1041"/>
      <c r="H18" s="468"/>
      <c r="I18" s="1041"/>
      <c r="J18" s="468"/>
      <c r="K18" s="650"/>
      <c r="L18" s="1081"/>
    </row>
    <row customHeight="1" ht="101.25" hidden="1">
      <c r="A19" s="2655"/>
      <c r="D19" s="1315" t="s">
        <v>90</v>
      </c>
      <c r="E19" s="640" t="s">
        <v>777</v>
      </c>
      <c r="F19" s="1021" t="s">
        <v>587</v>
      </c>
      <c r="G19" s="1024"/>
      <c r="H19" s="1023"/>
      <c r="I19" s="1317"/>
      <c r="J19" s="1023"/>
      <c r="K19" s="650" t="s">
        <v>778</v>
      </c>
      <c r="L19" s="1081"/>
    </row>
    <row s="31547" customFormat="1" customHeight="1" ht="18.75" hidden="1">
      <c r="A20" s="2655"/>
      <c r="C20" s="1318"/>
      <c r="D20" s="1315" t="s">
        <v>708</v>
      </c>
      <c r="E20" s="1316" t="s">
        <v>779</v>
      </c>
      <c r="F20" s="1312" t="s">
        <v>347</v>
      </c>
      <c r="G20" s="1312" t="s">
        <v>347</v>
      </c>
      <c r="H20" s="1311" t="s">
        <v>347</v>
      </c>
      <c r="I20" s="1312" t="s">
        <v>347</v>
      </c>
      <c r="J20" s="1311" t="s">
        <v>347</v>
      </c>
      <c r="K20" s="1310"/>
      <c r="L20" s="1081"/>
      <c r="W20" s="1036"/>
    </row>
    <row s="31547" customFormat="1" customHeight="1" ht="33.75" hidden="1">
      <c r="A21" s="2655"/>
      <c r="C21" s="1318"/>
      <c r="D21" s="1315" t="s">
        <v>711</v>
      </c>
      <c r="E21" s="937" t="s">
        <v>780</v>
      </c>
      <c r="F21" s="1312" t="s">
        <v>781</v>
      </c>
      <c r="G21" s="1304"/>
      <c r="H21" s="468"/>
      <c r="I21" s="1304"/>
      <c r="J21" s="468"/>
      <c r="K21" s="1310"/>
      <c r="L21" s="1081"/>
      <c r="W21" s="1036"/>
    </row>
    <row s="31547" customFormat="1" customHeight="1" ht="33.75" hidden="1">
      <c r="A22" s="2655"/>
      <c r="C22" s="1318"/>
      <c r="D22" s="1315" t="s">
        <v>714</v>
      </c>
      <c r="E22" s="937" t="s">
        <v>782</v>
      </c>
      <c r="F22" s="1312" t="s">
        <v>783</v>
      </c>
      <c r="G22" s="1304"/>
      <c r="H22" s="468"/>
      <c r="I22" s="1304"/>
      <c r="J22" s="468"/>
      <c r="K22" s="1310"/>
      <c r="L22" s="1081"/>
      <c r="W22" s="1036"/>
    </row>
    <row s="31547" customFormat="1" customHeight="1" ht="22.5" hidden="1">
      <c r="A23" s="2655"/>
      <c r="C23" s="1318"/>
      <c r="D23" s="1315" t="s">
        <v>751</v>
      </c>
      <c r="E23" s="1316" t="s">
        <v>784</v>
      </c>
      <c r="F23" s="1312" t="s">
        <v>347</v>
      </c>
      <c r="G23" s="1312" t="s">
        <v>347</v>
      </c>
      <c r="H23" s="1311" t="s">
        <v>347</v>
      </c>
      <c r="I23" s="1312" t="s">
        <v>347</v>
      </c>
      <c r="J23" s="1311" t="s">
        <v>347</v>
      </c>
      <c r="K23" s="1310"/>
      <c r="L23" s="1081"/>
      <c r="W23" s="1036"/>
    </row>
    <row s="31547" customFormat="1" customHeight="1" ht="22.5" hidden="1">
      <c r="A24" s="2655"/>
      <c r="C24" s="1318"/>
      <c r="D24" s="1315" t="s">
        <v>785</v>
      </c>
      <c r="E24" s="937" t="s">
        <v>786</v>
      </c>
      <c r="F24" s="1312" t="s">
        <v>787</v>
      </c>
      <c r="G24" s="1304"/>
      <c r="H24" s="1047"/>
      <c r="I24" s="1304"/>
      <c r="J24" s="1047"/>
      <c r="K24" s="1310"/>
      <c r="L24" s="1081"/>
      <c r="W24" s="1036"/>
    </row>
    <row s="31547" customFormat="1" customHeight="1" ht="22.5" hidden="1">
      <c r="A25" s="2655"/>
      <c r="C25" s="1318"/>
      <c r="D25" s="1315" t="s">
        <v>788</v>
      </c>
      <c r="E25" s="937" t="s">
        <v>789</v>
      </c>
      <c r="F25" s="1312" t="s">
        <v>347</v>
      </c>
      <c r="G25" s="1312" t="s">
        <v>347</v>
      </c>
      <c r="H25" s="1311" t="s">
        <v>347</v>
      </c>
      <c r="I25" s="1312" t="s">
        <v>347</v>
      </c>
      <c r="J25" s="1311" t="s">
        <v>347</v>
      </c>
      <c r="K25" s="1310"/>
      <c r="L25" s="1081"/>
      <c r="W25" s="1036"/>
    </row>
    <row s="31547" customFormat="1" customHeight="1" ht="18.75" hidden="1">
      <c r="A26" s="2655"/>
      <c r="C26" s="1318"/>
      <c r="D26" s="1315" t="s">
        <v>790</v>
      </c>
      <c r="E26" s="914" t="s">
        <v>791</v>
      </c>
      <c r="F26" s="1312" t="s">
        <v>792</v>
      </c>
      <c r="G26" s="1041"/>
      <c r="H26" s="1047"/>
      <c r="I26" s="1041"/>
      <c r="J26" s="1047"/>
      <c r="K26" s="1310"/>
      <c r="L26" s="1081"/>
      <c r="W26" s="1036"/>
    </row>
    <row s="31547" customFormat="1" customHeight="1" ht="18.75" hidden="1">
      <c r="A27" s="2655"/>
      <c r="C27" s="1318"/>
      <c r="D27" s="1315" t="s">
        <v>793</v>
      </c>
      <c r="E27" s="914" t="s">
        <v>794</v>
      </c>
      <c r="F27" s="1312" t="s">
        <v>795</v>
      </c>
      <c r="G27" s="1041"/>
      <c r="H27" s="1047"/>
      <c r="I27" s="1041"/>
      <c r="J27" s="1047"/>
      <c r="K27" s="1310"/>
      <c r="L27" s="1081"/>
      <c r="W27" s="1036"/>
    </row>
    <row s="31547" customFormat="1" customHeight="1" ht="18.75" hidden="1">
      <c r="A28" s="2655"/>
      <c r="C28" s="1318"/>
      <c r="D28" s="1315" t="s">
        <v>796</v>
      </c>
      <c r="E28" s="937" t="s">
        <v>797</v>
      </c>
      <c r="F28" s="1312" t="s">
        <v>347</v>
      </c>
      <c r="G28" s="1312" t="s">
        <v>347</v>
      </c>
      <c r="H28" s="1311" t="s">
        <v>347</v>
      </c>
      <c r="I28" s="1312" t="s">
        <v>347</v>
      </c>
      <c r="J28" s="1311" t="s">
        <v>347</v>
      </c>
      <c r="K28" s="1310"/>
      <c r="L28" s="1081"/>
      <c r="W28" s="1036"/>
    </row>
    <row s="31547" customFormat="1" customHeight="1" ht="18.75" hidden="1">
      <c r="A29" s="2655"/>
      <c r="C29" s="1318"/>
      <c r="D29" s="1315" t="s">
        <v>798</v>
      </c>
      <c r="E29" s="914" t="s">
        <v>791</v>
      </c>
      <c r="F29" s="1312" t="s">
        <v>799</v>
      </c>
      <c r="G29" s="1041"/>
      <c r="H29" s="1047"/>
      <c r="I29" s="1041"/>
      <c r="J29" s="1047"/>
      <c r="K29" s="1310"/>
      <c r="L29" s="1081"/>
      <c r="W29" s="1036"/>
    </row>
    <row s="31547" customFormat="1" customHeight="1" ht="18.75" hidden="1">
      <c r="A30" s="2655"/>
      <c r="C30" s="1318"/>
      <c r="D30" s="1315" t="s">
        <v>800</v>
      </c>
      <c r="E30" s="914" t="s">
        <v>801</v>
      </c>
      <c r="F30" s="1312" t="s">
        <v>802</v>
      </c>
      <c r="G30" s="1041"/>
      <c r="H30" s="1047"/>
      <c r="I30" s="1041"/>
      <c r="J30" s="1047"/>
      <c r="K30" s="1310"/>
      <c r="L30" s="1081"/>
      <c r="W30" s="1036"/>
    </row>
    <row customHeight="1" ht="126.75" hidden="1">
      <c r="A31" s="2655"/>
      <c r="D31" s="1315" t="s">
        <v>119</v>
      </c>
      <c r="E31" s="640" t="s">
        <v>803</v>
      </c>
      <c r="F31" s="1021" t="s">
        <v>599</v>
      </c>
      <c r="G31" s="918"/>
      <c r="H31" s="1023"/>
      <c r="I31" s="918"/>
      <c r="J31" s="1023"/>
      <c r="K31" s="650" t="s">
        <v>804</v>
      </c>
      <c r="L31" s="1081"/>
    </row>
    <row customHeight="1" ht="56.25" hidden="1">
      <c r="A32" s="2655"/>
      <c r="D32" s="1315" t="s">
        <v>91</v>
      </c>
      <c r="E32" s="640" t="s">
        <v>805</v>
      </c>
      <c r="F32" s="900" t="s">
        <v>775</v>
      </c>
      <c r="G32" s="918"/>
      <c r="H32" s="1023"/>
      <c r="I32" s="918"/>
      <c r="J32" s="1023"/>
      <c r="K32" s="650" t="s">
        <v>806</v>
      </c>
      <c r="L32" s="1081"/>
    </row>
    <row customHeight="1" ht="11.25" hidden="1">
      <c r="A33" s="2655"/>
      <c r="E33" s="1025"/>
      <c r="F33" s="543"/>
      <c r="G33" s="543"/>
      <c r="H33" s="543"/>
      <c r="I33" s="543"/>
      <c r="J33" s="543"/>
      <c r="K33" s="543"/>
    </row>
    <row customHeight="1" ht="12.75" hidden="1">
      <c r="A34" s="2655"/>
      <c r="D34" s="426">
        <v>1</v>
      </c>
      <c r="E34" s="696" t="s">
        <v>807</v>
      </c>
    </row>
    <row customHeight="1" ht="11.25" hidden="1">
      <c r="A35" s="2655"/>
      <c r="D35" s="730"/>
      <c r="E35" s="696" t="s">
        <v>808</v>
      </c>
    </row>
    <row s="36887" customFormat="1" customHeight="1" ht="11.25">
      <c r="A36" s="1395"/>
      <c r="B36" s="879"/>
      <c r="D36" s="1396"/>
      <c r="E36" s="1397"/>
    </row>
    <row s="31547" customFormat="1" customHeight="1" ht="22.5" hidden="1">
      <c r="A37" s="2655" t="s">
        <v>809</v>
      </c>
      <c r="B37" s="872"/>
      <c r="D37" s="1315">
        <v>1</v>
      </c>
      <c r="E37" s="1068" t="s">
        <v>810</v>
      </c>
      <c r="F37" s="1021" t="s">
        <v>765</v>
      </c>
      <c r="G37" s="918"/>
      <c r="H37" s="880"/>
      <c r="I37" s="918"/>
      <c r="J37" s="880"/>
      <c r="K37" s="650" t="s">
        <v>811</v>
      </c>
    </row>
    <row s="31547" customFormat="1" customHeight="1" ht="22.5" hidden="1">
      <c r="A38" s="2655"/>
      <c r="B38" s="872"/>
      <c r="D38" s="1030" t="s">
        <v>102</v>
      </c>
      <c r="E38" s="1394" t="s">
        <v>812</v>
      </c>
      <c r="F38" s="1398" t="s">
        <v>587</v>
      </c>
      <c r="G38" s="1398" t="s">
        <v>587</v>
      </c>
      <c r="H38" s="1392"/>
      <c r="I38" s="1398" t="s">
        <v>587</v>
      </c>
      <c r="J38" s="1392"/>
      <c r="K38" s="1393"/>
    </row>
    <row s="31547" customFormat="1" customHeight="1" ht="33.75" hidden="1">
      <c r="A39" s="2655"/>
      <c r="B39" s="872"/>
      <c r="D39" s="1026" t="s">
        <v>666</v>
      </c>
      <c r="E39" s="1084" t="s">
        <v>813</v>
      </c>
      <c r="F39" s="1021" t="s">
        <v>814</v>
      </c>
      <c r="G39" s="1029"/>
      <c r="H39" s="1385"/>
      <c r="I39" s="1029"/>
      <c r="J39" s="1385"/>
      <c r="K39" s="650" t="s">
        <v>815</v>
      </c>
    </row>
    <row s="31547" customFormat="1" customHeight="1" ht="33.75" hidden="1">
      <c r="A40" s="2655"/>
      <c r="B40" s="872"/>
      <c r="D40" s="1026" t="s">
        <v>669</v>
      </c>
      <c r="E40" s="1084" t="s">
        <v>816</v>
      </c>
      <c r="F40" s="1389" t="s">
        <v>817</v>
      </c>
      <c r="G40" s="1102"/>
      <c r="H40" s="1385"/>
      <c r="I40" s="1102"/>
      <c r="J40" s="1385"/>
      <c r="K40" s="650" t="s">
        <v>818</v>
      </c>
    </row>
    <row s="31547" customFormat="1" customHeight="1" ht="22.5" hidden="1">
      <c r="A41" s="2655"/>
      <c r="B41" s="872"/>
      <c r="D41" s="1026" t="s">
        <v>89</v>
      </c>
      <c r="E41" s="1083" t="s">
        <v>819</v>
      </c>
      <c r="F41" s="1021" t="s">
        <v>587</v>
      </c>
      <c r="G41" s="1021" t="s">
        <v>587</v>
      </c>
      <c r="H41" s="1386"/>
      <c r="I41" s="1021" t="s">
        <v>587</v>
      </c>
      <c r="J41" s="1386"/>
      <c r="K41" s="663"/>
    </row>
    <row s="31547" customFormat="1" customHeight="1" ht="45" hidden="1">
      <c r="A42" s="2655"/>
      <c r="B42" s="872"/>
      <c r="D42" s="1026" t="s">
        <v>365</v>
      </c>
      <c r="E42" s="1084" t="s">
        <v>820</v>
      </c>
      <c r="F42" s="1021" t="s">
        <v>599</v>
      </c>
      <c r="G42" s="918"/>
      <c r="H42" s="1386"/>
      <c r="I42" s="918"/>
      <c r="J42" s="1386"/>
      <c r="K42" s="663" t="s">
        <v>821</v>
      </c>
    </row>
    <row s="31547" customFormat="1" customHeight="1" ht="45" hidden="1">
      <c r="A43" s="2655"/>
      <c r="B43" s="872"/>
      <c r="D43" s="1026" t="s">
        <v>373</v>
      </c>
      <c r="E43" s="1028" t="s">
        <v>822</v>
      </c>
      <c r="F43" s="1390" t="s">
        <v>599</v>
      </c>
      <c r="G43" s="1103"/>
      <c r="H43" s="1385"/>
      <c r="I43" s="1103"/>
      <c r="J43" s="1385"/>
      <c r="K43" s="663" t="s">
        <v>823</v>
      </c>
    </row>
    <row s="31547" customFormat="1" customHeight="1" ht="11.25" hidden="1">
      <c r="A44" s="2655"/>
      <c r="B44" s="872"/>
      <c r="D44" s="1026" t="s">
        <v>90</v>
      </c>
      <c r="E44" s="1027" t="s">
        <v>824</v>
      </c>
      <c r="F44" s="1021" t="s">
        <v>814</v>
      </c>
      <c r="G44" s="1029"/>
      <c r="H44" s="1385"/>
      <c r="I44" s="1029"/>
      <c r="J44" s="1385"/>
      <c r="K44" s="650"/>
    </row>
    <row s="31547" customFormat="1" customHeight="1" ht="11.25" hidden="1">
      <c r="A45" s="2655"/>
      <c r="B45" s="872"/>
      <c r="D45" s="1026" t="s">
        <v>708</v>
      </c>
      <c r="E45" s="1028" t="s">
        <v>825</v>
      </c>
      <c r="F45" s="1021" t="s">
        <v>814</v>
      </c>
      <c r="G45" s="1029"/>
      <c r="H45" s="1385"/>
      <c r="I45" s="1029"/>
      <c r="J45" s="1385"/>
      <c r="K45" s="650"/>
    </row>
    <row s="31547" customFormat="1" customHeight="1" ht="11.25" hidden="1">
      <c r="A46" s="2655"/>
      <c r="B46" s="872"/>
      <c r="D46" s="1026" t="s">
        <v>751</v>
      </c>
      <c r="E46" s="1028" t="s">
        <v>826</v>
      </c>
      <c r="F46" s="1021" t="s">
        <v>814</v>
      </c>
      <c r="G46" s="1029"/>
      <c r="H46" s="1385"/>
      <c r="I46" s="1029"/>
      <c r="J46" s="1385"/>
      <c r="K46" s="650"/>
    </row>
    <row s="31547" customFormat="1" customHeight="1" ht="11.25" hidden="1">
      <c r="A47" s="2655"/>
      <c r="B47" s="872"/>
      <c r="D47" s="1026" t="s">
        <v>754</v>
      </c>
      <c r="E47" s="1028" t="s">
        <v>827</v>
      </c>
      <c r="F47" s="1021" t="s">
        <v>814</v>
      </c>
      <c r="G47" s="1029"/>
      <c r="H47" s="1385"/>
      <c r="I47" s="1029"/>
      <c r="J47" s="1385"/>
      <c r="K47" s="650"/>
    </row>
    <row s="31547" customFormat="1" customHeight="1" ht="11.25" hidden="1">
      <c r="A48" s="2655"/>
      <c r="B48" s="872"/>
      <c r="D48" s="1026" t="s">
        <v>828</v>
      </c>
      <c r="E48" s="1032" t="s">
        <v>829</v>
      </c>
      <c r="F48" s="1021" t="s">
        <v>814</v>
      </c>
      <c r="G48" s="1029"/>
      <c r="H48" s="1385"/>
      <c r="I48" s="1029"/>
      <c r="J48" s="1385"/>
      <c r="K48" s="650"/>
    </row>
    <row s="31547" customFormat="1" customHeight="1" ht="11.25" hidden="1">
      <c r="A49" s="2655"/>
      <c r="B49" s="872"/>
      <c r="D49" s="1026" t="s">
        <v>830</v>
      </c>
      <c r="E49" s="1032" t="s">
        <v>831</v>
      </c>
      <c r="F49" s="1021" t="s">
        <v>814</v>
      </c>
      <c r="G49" s="1029"/>
      <c r="H49" s="1385"/>
      <c r="I49" s="1029"/>
      <c r="J49" s="1385"/>
      <c r="K49" s="650"/>
    </row>
    <row s="31547" customFormat="1" customHeight="1" ht="11.25" hidden="1">
      <c r="A50" s="2655"/>
      <c r="B50" s="872"/>
      <c r="D50" s="1026" t="s">
        <v>832</v>
      </c>
      <c r="E50" s="1028" t="s">
        <v>833</v>
      </c>
      <c r="F50" s="1021" t="s">
        <v>814</v>
      </c>
      <c r="G50" s="1029"/>
      <c r="H50" s="1385"/>
      <c r="I50" s="1029"/>
      <c r="J50" s="1385"/>
      <c r="K50" s="650"/>
    </row>
    <row s="31547" customFormat="1" customHeight="1" ht="11.25" hidden="1">
      <c r="A51" s="2655"/>
      <c r="B51" s="872"/>
      <c r="D51" s="1026" t="s">
        <v>834</v>
      </c>
      <c r="E51" s="1028" t="s">
        <v>835</v>
      </c>
      <c r="F51" s="1021" t="s">
        <v>814</v>
      </c>
      <c r="G51" s="1029"/>
      <c r="H51" s="1385"/>
      <c r="I51" s="1029"/>
      <c r="J51" s="1385"/>
      <c r="K51" s="650"/>
    </row>
    <row s="31547" customFormat="1" customHeight="1" ht="45" hidden="1">
      <c r="A52" s="2655"/>
      <c r="B52" s="872"/>
      <c r="D52" s="1026" t="s">
        <v>119</v>
      </c>
      <c r="E52" s="1027" t="s">
        <v>836</v>
      </c>
      <c r="F52" s="1021" t="s">
        <v>814</v>
      </c>
      <c r="G52" s="1029"/>
      <c r="H52" s="1385"/>
      <c r="I52" s="1029"/>
      <c r="J52" s="1385"/>
      <c r="K52" s="650"/>
    </row>
    <row s="31547" customFormat="1" customHeight="1" ht="11.25" hidden="1">
      <c r="A53" s="2655"/>
      <c r="B53" s="872"/>
      <c r="D53" s="1026" t="s">
        <v>354</v>
      </c>
      <c r="E53" s="1028" t="s">
        <v>825</v>
      </c>
      <c r="F53" s="1021" t="s">
        <v>814</v>
      </c>
      <c r="G53" s="1029"/>
      <c r="H53" s="1385"/>
      <c r="I53" s="1029"/>
      <c r="J53" s="1385"/>
      <c r="K53" s="650"/>
    </row>
    <row s="31547" customFormat="1" customHeight="1" ht="11.25" hidden="1">
      <c r="A54" s="2655"/>
      <c r="B54" s="872"/>
      <c r="D54" s="1026" t="s">
        <v>837</v>
      </c>
      <c r="E54" s="1028" t="s">
        <v>826</v>
      </c>
      <c r="F54" s="1021" t="s">
        <v>814</v>
      </c>
      <c r="G54" s="1029"/>
      <c r="H54" s="1385"/>
      <c r="I54" s="1029"/>
      <c r="J54" s="1385"/>
      <c r="K54" s="650"/>
    </row>
    <row s="31547" customFormat="1" customHeight="1" ht="11.25" hidden="1">
      <c r="A55" s="2655"/>
      <c r="B55" s="872"/>
      <c r="D55" s="1026" t="s">
        <v>838</v>
      </c>
      <c r="E55" s="1028" t="s">
        <v>827</v>
      </c>
      <c r="F55" s="1021" t="s">
        <v>814</v>
      </c>
      <c r="G55" s="1029"/>
      <c r="H55" s="1385"/>
      <c r="I55" s="1029"/>
      <c r="J55" s="1385"/>
      <c r="K55" s="650"/>
    </row>
    <row s="31547" customFormat="1" customHeight="1" ht="11.25" hidden="1">
      <c r="A56" s="2655"/>
      <c r="B56" s="872"/>
      <c r="D56" s="1026" t="s">
        <v>839</v>
      </c>
      <c r="E56" s="1032" t="s">
        <v>829</v>
      </c>
      <c r="F56" s="1021" t="s">
        <v>814</v>
      </c>
      <c r="G56" s="1029"/>
      <c r="H56" s="1385"/>
      <c r="I56" s="1029"/>
      <c r="J56" s="1385"/>
      <c r="K56" s="650"/>
    </row>
    <row s="31547" customFormat="1" customHeight="1" ht="11.25" hidden="1">
      <c r="A57" s="2655"/>
      <c r="B57" s="872"/>
      <c r="D57" s="1026" t="s">
        <v>840</v>
      </c>
      <c r="E57" s="1032" t="s">
        <v>831</v>
      </c>
      <c r="F57" s="1021" t="s">
        <v>814</v>
      </c>
      <c r="G57" s="1029"/>
      <c r="H57" s="1385"/>
      <c r="I57" s="1029"/>
      <c r="J57" s="1385"/>
      <c r="K57" s="650"/>
    </row>
    <row s="31547" customFormat="1" customHeight="1" ht="11.25" hidden="1">
      <c r="A58" s="2655"/>
      <c r="B58" s="872"/>
      <c r="D58" s="1026" t="s">
        <v>841</v>
      </c>
      <c r="E58" s="1028" t="s">
        <v>833</v>
      </c>
      <c r="F58" s="1021" t="s">
        <v>814</v>
      </c>
      <c r="G58" s="1029"/>
      <c r="H58" s="1385"/>
      <c r="I58" s="1029"/>
      <c r="J58" s="1385"/>
      <c r="K58" s="650"/>
    </row>
    <row s="31547" customFormat="1" customHeight="1" ht="11.25" hidden="1">
      <c r="A59" s="2655"/>
      <c r="B59" s="872"/>
      <c r="D59" s="1026" t="s">
        <v>842</v>
      </c>
      <c r="E59" s="1028" t="s">
        <v>835</v>
      </c>
      <c r="F59" s="1021" t="s">
        <v>814</v>
      </c>
      <c r="G59" s="1029"/>
      <c r="H59" s="1385"/>
      <c r="I59" s="1029"/>
      <c r="J59" s="1385"/>
      <c r="K59" s="650"/>
    </row>
    <row s="31547" customFormat="1" customHeight="1" ht="33.75" hidden="1">
      <c r="A60" s="2655"/>
      <c r="B60" s="872"/>
      <c r="D60" s="1026" t="s">
        <v>91</v>
      </c>
      <c r="E60" s="1027" t="s">
        <v>843</v>
      </c>
      <c r="F60" s="1082" t="s">
        <v>599</v>
      </c>
      <c r="G60" s="1103"/>
      <c r="H60" s="1385"/>
      <c r="I60" s="1103"/>
      <c r="J60" s="1385"/>
      <c r="K60" s="663" t="s">
        <v>844</v>
      </c>
    </row>
    <row s="31547" customFormat="1" customHeight="1" ht="33.75" hidden="1">
      <c r="A61" s="2655"/>
      <c r="B61" s="872"/>
      <c r="D61" s="1026" t="s">
        <v>92</v>
      </c>
      <c r="E61" s="1027" t="s">
        <v>845</v>
      </c>
      <c r="F61" s="1087" t="s">
        <v>775</v>
      </c>
      <c r="G61" s="1029"/>
      <c r="H61" s="1385"/>
      <c r="I61" s="1029"/>
      <c r="J61" s="1385"/>
      <c r="K61" s="650"/>
    </row>
    <row s="31547" customFormat="1" customHeight="1" ht="22.5" hidden="1">
      <c r="A62" s="2655"/>
      <c r="B62" s="872" t="s">
        <v>629</v>
      </c>
      <c r="D62" s="1026" t="s">
        <v>120</v>
      </c>
      <c r="E62" s="1027" t="s">
        <v>846</v>
      </c>
      <c r="F62" s="1087" t="s">
        <v>347</v>
      </c>
      <c r="G62" s="743"/>
      <c r="H62" s="1385"/>
      <c r="I62" s="743"/>
      <c r="J62" s="1385"/>
      <c r="K62" s="650" t="s">
        <v>847</v>
      </c>
    </row>
    <row s="31547" customFormat="1" customHeight="1" ht="45" hidden="1">
      <c r="A63" s="2655"/>
      <c r="B63" s="872" t="s">
        <v>629</v>
      </c>
      <c r="D63" s="1026" t="s">
        <v>848</v>
      </c>
      <c r="E63" s="1028" t="s">
        <v>849</v>
      </c>
      <c r="F63" s="1082" t="s">
        <v>347</v>
      </c>
      <c r="G63" s="743"/>
      <c r="H63" s="1385"/>
      <c r="I63" s="743"/>
      <c r="J63" s="1385"/>
      <c r="K63" s="650" t="s">
        <v>847</v>
      </c>
    </row>
    <row s="36887" customFormat="1" customHeight="1" ht="11.25">
      <c r="A64" s="1395"/>
      <c r="B64" s="879"/>
      <c r="D64" s="1396"/>
      <c r="E64" s="1397"/>
    </row>
    <row s="31547" customFormat="1" customHeight="1" ht="22.5">
      <c r="A65" s="2655" t="s">
        <v>850</v>
      </c>
      <c r="B65" s="872"/>
      <c r="D65" s="1026">
        <v>1</v>
      </c>
      <c r="E65" s="1105" t="s">
        <v>851</v>
      </c>
      <c r="F65" s="1101" t="s">
        <v>765</v>
      </c>
      <c r="G65" s="1102"/>
      <c r="H65" s="1391"/>
      <c r="I65" s="1102"/>
      <c r="J65" s="1391"/>
      <c r="K65" s="662" t="s">
        <v>852</v>
      </c>
    </row>
    <row s="31547" customFormat="1" customHeight="1" ht="56.25">
      <c r="A66" s="2655"/>
      <c r="B66" s="872"/>
      <c r="D66" s="1104" t="s">
        <v>102</v>
      </c>
      <c r="E66" s="1068" t="s">
        <v>853</v>
      </c>
      <c r="F66" s="1021" t="s">
        <v>587</v>
      </c>
      <c r="G66" s="1021" t="s">
        <v>587</v>
      </c>
      <c r="H66" s="880"/>
      <c r="I66" s="1021" t="s">
        <v>587</v>
      </c>
      <c r="J66" s="880"/>
      <c r="K66" s="650"/>
    </row>
    <row s="31547" customFormat="1" customHeight="1" ht="33.75">
      <c r="A67" s="2655"/>
      <c r="B67" s="872"/>
      <c r="D67" s="1104" t="s">
        <v>663</v>
      </c>
      <c r="E67" s="1316" t="s">
        <v>854</v>
      </c>
      <c r="F67" s="1021" t="s">
        <v>817</v>
      </c>
      <c r="G67" s="1088"/>
      <c r="H67" s="880"/>
      <c r="I67" s="1088"/>
      <c r="J67" s="880"/>
      <c r="K67" s="650"/>
    </row>
    <row s="31547" customFormat="1" customHeight="1" ht="22.5">
      <c r="A68" s="2655"/>
      <c r="B68" s="872"/>
      <c r="D68" s="1104" t="s">
        <v>348</v>
      </c>
      <c r="E68" s="1316" t="s">
        <v>855</v>
      </c>
      <c r="F68" s="1021" t="s">
        <v>817</v>
      </c>
      <c r="G68" s="1088"/>
      <c r="H68" s="880"/>
      <c r="I68" s="1088"/>
      <c r="J68" s="880"/>
      <c r="K68" s="650"/>
    </row>
    <row s="31547" customFormat="1" customHeight="1" ht="22.5">
      <c r="A69" s="2655"/>
      <c r="B69" s="872"/>
      <c r="D69" s="1104" t="s">
        <v>351</v>
      </c>
      <c r="E69" s="1316" t="s">
        <v>856</v>
      </c>
      <c r="F69" s="1082" t="s">
        <v>599</v>
      </c>
      <c r="G69" s="1103"/>
      <c r="H69" s="880"/>
      <c r="I69" s="1103"/>
      <c r="J69" s="880"/>
      <c r="K69" s="650"/>
    </row>
    <row s="31547" customFormat="1" customHeight="1" ht="22.5">
      <c r="A70" s="2655"/>
      <c r="B70" s="872"/>
      <c r="D70" s="1104" t="s">
        <v>683</v>
      </c>
      <c r="E70" s="1316" t="s">
        <v>857</v>
      </c>
      <c r="F70" s="1082" t="s">
        <v>599</v>
      </c>
      <c r="G70" s="1103"/>
      <c r="H70" s="880"/>
      <c r="I70" s="1103"/>
      <c r="J70" s="880"/>
      <c r="K70" s="650"/>
    </row>
    <row s="31547" customFormat="1" customHeight="1" ht="22.5">
      <c r="A71" s="2655"/>
      <c r="B71" s="872"/>
      <c r="D71" s="1026" t="s">
        <v>89</v>
      </c>
      <c r="E71" s="1027" t="s">
        <v>858</v>
      </c>
      <c r="F71" s="1021" t="s">
        <v>817</v>
      </c>
      <c r="G71" s="918"/>
      <c r="H71" s="1392"/>
      <c r="I71" s="918"/>
      <c r="J71" s="1392"/>
      <c r="K71" s="663"/>
    </row>
    <row s="31547" customFormat="1" customHeight="1" ht="56.25">
      <c r="A72" s="2655"/>
      <c r="B72" s="872"/>
      <c r="D72" s="1026" t="s">
        <v>90</v>
      </c>
      <c r="E72" s="1027" t="s">
        <v>859</v>
      </c>
      <c r="F72" s="1082" t="s">
        <v>599</v>
      </c>
      <c r="G72" s="1103"/>
      <c r="H72" s="1385"/>
      <c r="I72" s="1103"/>
      <c r="J72" s="1385"/>
      <c r="K72" s="663"/>
    </row>
    <row s="31547" customFormat="1" customHeight="1" ht="33.75">
      <c r="A73" s="2655"/>
      <c r="B73" s="872"/>
      <c r="D73" s="1026" t="s">
        <v>119</v>
      </c>
      <c r="E73" s="1027" t="s">
        <v>860</v>
      </c>
      <c r="F73" s="1087" t="s">
        <v>775</v>
      </c>
      <c r="G73" s="1029"/>
      <c r="H73" s="1385"/>
      <c r="I73" s="1029"/>
      <c r="J73" s="1385"/>
      <c r="K73" s="650"/>
    </row>
    <row s="31547" customFormat="1" customHeight="1" ht="22.5">
      <c r="A74" s="2655"/>
      <c r="B74" s="872" t="s">
        <v>629</v>
      </c>
      <c r="D74" s="1026" t="s">
        <v>91</v>
      </c>
      <c r="E74" s="1027" t="s">
        <v>861</v>
      </c>
      <c r="F74" s="1087" t="s">
        <v>347</v>
      </c>
      <c r="G74" s="743"/>
      <c r="H74" s="1385"/>
      <c r="I74" s="743"/>
      <c r="J74" s="1385"/>
      <c r="K74" s="650" t="s">
        <v>847</v>
      </c>
    </row>
    <row s="31547" customFormat="1" customHeight="1" ht="45">
      <c r="A75" s="2655"/>
      <c r="B75" s="872" t="s">
        <v>629</v>
      </c>
      <c r="D75" s="1026" t="s">
        <v>862</v>
      </c>
      <c r="E75" s="1028" t="s">
        <v>863</v>
      </c>
      <c r="F75" s="1082" t="s">
        <v>347</v>
      </c>
      <c r="G75" s="743"/>
      <c r="H75" s="1385"/>
      <c r="I75" s="743"/>
      <c r="J75" s="1385"/>
      <c r="K75" s="650" t="s">
        <v>847</v>
      </c>
    </row>
    <row s="36887" customFormat="1" customHeight="1" ht="11.25">
      <c r="A76" s="1395"/>
      <c r="B76" s="879"/>
      <c r="D76" s="1396"/>
      <c r="E76" s="1397"/>
    </row>
    <row s="31547" customFormat="1" customHeight="1" ht="11.25" hidden="1">
      <c r="A77" s="2655" t="s">
        <v>864</v>
      </c>
      <c r="B77" s="872"/>
      <c r="D77" s="1026">
        <v>1</v>
      </c>
      <c r="E77" s="1027" t="s">
        <v>865</v>
      </c>
      <c r="F77" s="1082" t="s">
        <v>765</v>
      </c>
      <c r="G77" s="1085"/>
      <c r="H77" s="1385"/>
      <c r="I77" s="1085"/>
      <c r="J77" s="1385"/>
      <c r="K77" s="650" t="s">
        <v>866</v>
      </c>
    </row>
    <row s="31547" customFormat="1" customHeight="1" ht="11.25" hidden="1">
      <c r="A78" s="2655"/>
      <c r="B78" s="872"/>
      <c r="D78" s="1026" t="s">
        <v>102</v>
      </c>
      <c r="E78" s="1027" t="s">
        <v>867</v>
      </c>
      <c r="F78" s="1082" t="s">
        <v>765</v>
      </c>
      <c r="G78" s="1085"/>
      <c r="H78" s="1385"/>
      <c r="I78" s="1085"/>
      <c r="J78" s="1385"/>
      <c r="K78" s="650" t="s">
        <v>868</v>
      </c>
    </row>
    <row s="31547" customFormat="1" customHeight="1" ht="22.5" hidden="1">
      <c r="A79" s="2655"/>
      <c r="B79" s="872"/>
      <c r="D79" s="1026" t="s">
        <v>89</v>
      </c>
      <c r="E79" s="1083" t="s">
        <v>869</v>
      </c>
      <c r="F79" s="1021" t="s">
        <v>814</v>
      </c>
      <c r="G79" s="1085"/>
      <c r="H79" s="1385"/>
      <c r="I79" s="1085"/>
      <c r="J79" s="1385"/>
      <c r="K79" s="650" t="s">
        <v>870</v>
      </c>
    </row>
    <row s="31547" customFormat="1" customHeight="1" ht="11.25" hidden="1">
      <c r="A80" s="2655"/>
      <c r="B80" s="872"/>
      <c r="D80" s="1026" t="s">
        <v>365</v>
      </c>
      <c r="E80" s="1084" t="s">
        <v>871</v>
      </c>
      <c r="F80" s="1021" t="s">
        <v>814</v>
      </c>
      <c r="G80" s="1085"/>
      <c r="H80" s="1385"/>
      <c r="I80" s="1085"/>
      <c r="J80" s="1385"/>
      <c r="K80" s="650"/>
    </row>
    <row s="31547" customFormat="1" customHeight="1" ht="11.25" hidden="1">
      <c r="A81" s="2655"/>
      <c r="B81" s="872"/>
      <c r="D81" s="1026" t="s">
        <v>373</v>
      </c>
      <c r="E81" s="1084" t="s">
        <v>872</v>
      </c>
      <c r="F81" s="1021" t="s">
        <v>814</v>
      </c>
      <c r="G81" s="1085"/>
      <c r="H81" s="1385"/>
      <c r="I81" s="1085"/>
      <c r="J81" s="1385"/>
      <c r="K81" s="650"/>
    </row>
    <row s="31547" customFormat="1" customHeight="1" ht="11.25" hidden="1">
      <c r="A82" s="2655"/>
      <c r="B82" s="872"/>
      <c r="D82" s="1026" t="s">
        <v>375</v>
      </c>
      <c r="E82" s="1084" t="s">
        <v>873</v>
      </c>
      <c r="F82" s="1021" t="s">
        <v>814</v>
      </c>
      <c r="G82" s="1085"/>
      <c r="H82" s="1385"/>
      <c r="I82" s="1085"/>
      <c r="J82" s="1385"/>
      <c r="K82" s="650"/>
    </row>
    <row s="31547" customFormat="1" customHeight="1" ht="11.25" hidden="1">
      <c r="A83" s="2655"/>
      <c r="B83" s="872"/>
      <c r="D83" s="1026" t="s">
        <v>377</v>
      </c>
      <c r="E83" s="1084" t="s">
        <v>874</v>
      </c>
      <c r="F83" s="1021" t="s">
        <v>814</v>
      </c>
      <c r="G83" s="1085"/>
      <c r="H83" s="1385"/>
      <c r="I83" s="1085"/>
      <c r="J83" s="1385"/>
      <c r="K83" s="650"/>
    </row>
    <row s="31547" customFormat="1" customHeight="1" ht="11.25" hidden="1">
      <c r="A84" s="2655"/>
      <c r="B84" s="872"/>
      <c r="D84" s="1026" t="s">
        <v>875</v>
      </c>
      <c r="E84" s="1084" t="s">
        <v>876</v>
      </c>
      <c r="F84" s="1021" t="s">
        <v>814</v>
      </c>
      <c r="G84" s="1085"/>
      <c r="H84" s="1385"/>
      <c r="I84" s="1085"/>
      <c r="J84" s="1385"/>
      <c r="K84" s="650"/>
    </row>
    <row s="31547" customFormat="1" customHeight="1" ht="11.25" hidden="1">
      <c r="A85" s="2655"/>
      <c r="B85" s="872"/>
      <c r="D85" s="1026" t="s">
        <v>877</v>
      </c>
      <c r="E85" s="1084" t="s">
        <v>878</v>
      </c>
      <c r="F85" s="1021" t="s">
        <v>814</v>
      </c>
      <c r="G85" s="1085"/>
      <c r="H85" s="1385"/>
      <c r="I85" s="1085"/>
      <c r="J85" s="1385"/>
      <c r="K85" s="650"/>
    </row>
    <row s="31547" customFormat="1" customHeight="1" ht="11.25" hidden="1">
      <c r="A86" s="2655"/>
      <c r="B86" s="872"/>
      <c r="D86" s="1026" t="s">
        <v>879</v>
      </c>
      <c r="E86" s="1084" t="s">
        <v>880</v>
      </c>
      <c r="F86" s="1021" t="s">
        <v>814</v>
      </c>
      <c r="G86" s="1085"/>
      <c r="H86" s="1385"/>
      <c r="I86" s="1085"/>
      <c r="J86" s="1385"/>
      <c r="K86" s="650"/>
    </row>
    <row s="31547" customFormat="1" customHeight="1" ht="45" hidden="1">
      <c r="A87" s="2655"/>
      <c r="B87" s="872"/>
      <c r="D87" s="1026" t="s">
        <v>90</v>
      </c>
      <c r="E87" s="1027" t="s">
        <v>881</v>
      </c>
      <c r="F87" s="1021" t="s">
        <v>814</v>
      </c>
      <c r="G87" s="1085"/>
      <c r="H87" s="1385"/>
      <c r="I87" s="1085"/>
      <c r="J87" s="1385"/>
      <c r="K87" s="650" t="s">
        <v>882</v>
      </c>
    </row>
    <row s="31547" customFormat="1" customHeight="1" ht="11.25" hidden="1">
      <c r="A88" s="2655"/>
      <c r="B88" s="872"/>
      <c r="D88" s="1026" t="s">
        <v>708</v>
      </c>
      <c r="E88" s="1084" t="s">
        <v>871</v>
      </c>
      <c r="F88" s="1021" t="s">
        <v>814</v>
      </c>
      <c r="G88" s="1085"/>
      <c r="H88" s="1385"/>
      <c r="I88" s="1085"/>
      <c r="J88" s="1385"/>
      <c r="K88" s="650"/>
    </row>
    <row s="31547" customFormat="1" customHeight="1" ht="11.25" hidden="1">
      <c r="A89" s="2655"/>
      <c r="B89" s="872"/>
      <c r="D89" s="1026" t="s">
        <v>751</v>
      </c>
      <c r="E89" s="1084" t="s">
        <v>872</v>
      </c>
      <c r="F89" s="1021" t="s">
        <v>814</v>
      </c>
      <c r="G89" s="1085"/>
      <c r="H89" s="1385"/>
      <c r="I89" s="1085"/>
      <c r="J89" s="1385"/>
      <c r="K89" s="650"/>
    </row>
    <row s="31547" customFormat="1" customHeight="1" ht="11.25" hidden="1">
      <c r="A90" s="2655"/>
      <c r="B90" s="872"/>
      <c r="D90" s="1026" t="s">
        <v>754</v>
      </c>
      <c r="E90" s="1084" t="s">
        <v>873</v>
      </c>
      <c r="F90" s="1021" t="s">
        <v>814</v>
      </c>
      <c r="G90" s="1085"/>
      <c r="H90" s="1385"/>
      <c r="I90" s="1085"/>
      <c r="J90" s="1385"/>
      <c r="K90" s="650"/>
    </row>
    <row s="31547" customFormat="1" customHeight="1" ht="11.25" hidden="1">
      <c r="A91" s="2655"/>
      <c r="B91" s="872"/>
      <c r="D91" s="1026" t="s">
        <v>832</v>
      </c>
      <c r="E91" s="1084" t="s">
        <v>874</v>
      </c>
      <c r="F91" s="1021" t="s">
        <v>814</v>
      </c>
      <c r="G91" s="1085"/>
      <c r="H91" s="1385"/>
      <c r="I91" s="1085"/>
      <c r="J91" s="1385"/>
      <c r="K91" s="650"/>
    </row>
    <row s="31547" customFormat="1" customHeight="1" ht="11.25" hidden="1">
      <c r="A92" s="2655"/>
      <c r="B92" s="872"/>
      <c r="D92" s="1026" t="s">
        <v>834</v>
      </c>
      <c r="E92" s="1084" t="s">
        <v>876</v>
      </c>
      <c r="F92" s="1021" t="s">
        <v>814</v>
      </c>
      <c r="G92" s="1085"/>
      <c r="H92" s="1385"/>
      <c r="I92" s="1085"/>
      <c r="J92" s="1385"/>
      <c r="K92" s="650"/>
    </row>
    <row s="31547" customFormat="1" customHeight="1" ht="11.25" hidden="1">
      <c r="A93" s="2655"/>
      <c r="B93" s="872"/>
      <c r="D93" s="1026" t="s">
        <v>883</v>
      </c>
      <c r="E93" s="1084" t="s">
        <v>878</v>
      </c>
      <c r="F93" s="1021" t="s">
        <v>814</v>
      </c>
      <c r="G93" s="1085"/>
      <c r="H93" s="1385"/>
      <c r="I93" s="1085"/>
      <c r="J93" s="1385"/>
      <c r="K93" s="650"/>
    </row>
    <row s="31547" customFormat="1" customHeight="1" ht="11.25" hidden="1">
      <c r="A94" s="2655"/>
      <c r="B94" s="872"/>
      <c r="D94" s="1026" t="s">
        <v>884</v>
      </c>
      <c r="E94" s="1084" t="s">
        <v>880</v>
      </c>
      <c r="F94" s="1021" t="s">
        <v>814</v>
      </c>
      <c r="G94" s="1085"/>
      <c r="H94" s="1385"/>
      <c r="I94" s="1085"/>
      <c r="J94" s="1385"/>
      <c r="K94" s="650"/>
    </row>
    <row s="31547" customFormat="1" customHeight="1" ht="24.75" hidden="1">
      <c r="A95" s="2655"/>
      <c r="B95" s="872"/>
      <c r="D95" s="1026" t="s">
        <v>119</v>
      </c>
      <c r="E95" s="1027" t="s">
        <v>885</v>
      </c>
      <c r="F95" s="1086" t="s">
        <v>599</v>
      </c>
      <c r="G95" s="1088"/>
      <c r="H95" s="1385"/>
      <c r="I95" s="1088"/>
      <c r="J95" s="1385"/>
      <c r="K95" s="650" t="s">
        <v>886</v>
      </c>
    </row>
    <row s="31547" customFormat="1" customHeight="1" ht="33.75" hidden="1">
      <c r="A96" s="2655"/>
      <c r="B96" s="872"/>
      <c r="D96" s="1026" t="s">
        <v>91</v>
      </c>
      <c r="E96" s="1027" t="s">
        <v>887</v>
      </c>
      <c r="F96" s="1087" t="s">
        <v>775</v>
      </c>
      <c r="G96" s="1089"/>
      <c r="H96" s="1385"/>
      <c r="I96" s="1089"/>
      <c r="J96" s="1385"/>
      <c r="K96" s="650"/>
    </row>
    <row s="31547" customFormat="1" customHeight="1" ht="22.5" hidden="1">
      <c r="A97" s="2655"/>
      <c r="B97" s="872" t="s">
        <v>629</v>
      </c>
      <c r="D97" s="1026" t="s">
        <v>92</v>
      </c>
      <c r="E97" s="1027" t="s">
        <v>888</v>
      </c>
      <c r="F97" s="1087" t="s">
        <v>347</v>
      </c>
      <c r="G97" s="746"/>
      <c r="H97" s="1385"/>
      <c r="I97" s="746"/>
      <c r="J97" s="1385"/>
      <c r="K97" s="650" t="s">
        <v>847</v>
      </c>
    </row>
    <row s="31547" customFormat="1" customHeight="1" ht="45" hidden="1">
      <c r="A98" s="2655"/>
      <c r="B98" s="872" t="s">
        <v>629</v>
      </c>
      <c r="D98" s="1026" t="s">
        <v>889</v>
      </c>
      <c r="E98" s="1028" t="s">
        <v>890</v>
      </c>
      <c r="F98" s="1082" t="s">
        <v>347</v>
      </c>
      <c r="G98" s="746"/>
      <c r="H98" s="1385"/>
      <c r="I98" s="746"/>
      <c r="J98" s="1385"/>
      <c r="K98" s="650" t="s">
        <v>847</v>
      </c>
    </row>
    <row s="31547" customFormat="1" customHeight="1" ht="95.25" hidden="1">
      <c r="A99" s="2655"/>
      <c r="B99" s="872" t="s">
        <v>629</v>
      </c>
      <c r="D99" s="1026" t="s">
        <v>120</v>
      </c>
      <c r="E99" s="1027" t="s">
        <v>891</v>
      </c>
      <c r="F99" s="1082" t="s">
        <v>347</v>
      </c>
      <c r="G99" s="746"/>
      <c r="H99" s="1385"/>
      <c r="I99" s="746"/>
      <c r="J99" s="1385"/>
      <c r="K99" s="650" t="s">
        <v>847</v>
      </c>
    </row>
    <row s="31547" customFormat="1" customHeight="1" ht="22.5" hidden="1">
      <c r="A100" s="2655"/>
      <c r="B100" s="872" t="s">
        <v>629</v>
      </c>
      <c r="D100" s="1026" t="s">
        <v>156</v>
      </c>
      <c r="E100" s="1027" t="s">
        <v>892</v>
      </c>
      <c r="F100" s="1082" t="s">
        <v>347</v>
      </c>
      <c r="G100" s="746"/>
      <c r="H100" s="1385"/>
      <c r="I100" s="746"/>
      <c r="J100" s="1385"/>
      <c r="K100" s="650" t="s">
        <v>847</v>
      </c>
    </row>
    <row s="36887" customFormat="1" customHeight="1" ht="11.25">
      <c r="A101" s="1395"/>
      <c r="B101" s="879"/>
      <c r="D101" s="1396"/>
      <c r="E101" s="1397"/>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9F64F-B715-4673-81EC-25F55CD1BDCE}"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32070" width="9.140625" hidden="1" customWidth="1"/>
    <col min="2" max="2" style="32073" width="9.140625" hidden="1" customWidth="1"/>
    <col min="3" max="3" style="37074" width="4.7109375" customWidth="1"/>
    <col min="4" max="4" style="32073" width="6.28125" customWidth="1"/>
    <col min="5" max="5" style="32073" width="36.7109375" customWidth="1"/>
    <col min="6" max="6" style="32073" width="9.57421875" customWidth="1"/>
    <col min="7" max="7" style="31547" width="25.7109375" hidden="1" customWidth="1"/>
    <col min="8" max="8" style="31547" width="33.7109375" hidden="1" customWidth="1"/>
    <col min="9" max="9" style="32073" width="25.7109375" customWidth="1"/>
    <col min="10" max="10" style="32073" width="33.7109375" customWidth="1"/>
    <col min="11" max="11" style="31548" width="93.421875" customWidth="1"/>
    <col min="12" max="20" style="32073" width="10.57421875"/>
    <col min="21" max="21" style="37075" width="10.57421875"/>
  </cols>
  <sheetData>
    <row s="31548" customFormat="1" customHeight="1" ht="15" hidden="1">
      <c r="C1" s="1033"/>
      <c r="G1" s="778">
        <v>4</v>
      </c>
      <c r="I1" s="778">
        <v>4</v>
      </c>
      <c r="U1" s="781"/>
    </row>
    <row s="31548" customFormat="1" customHeight="1" ht="15" hidden="1">
      <c r="C2" s="1033"/>
      <c r="U2" s="781"/>
    </row>
    <row customHeight="1" ht="22.5" hidden="1">
      <c r="A3" s="866"/>
      <c r="B3" s="2657"/>
      <c r="C3" s="2658" t="s">
        <v>103</v>
      </c>
      <c r="D3" s="1050" t="str">
        <f>B3&amp;".1"</f>
        <v>.1</v>
      </c>
      <c r="E3" s="1051" t="s">
        <v>893</v>
      </c>
      <c r="F3" s="1052" t="s">
        <v>347</v>
      </c>
      <c r="G3" s="1047"/>
      <c r="H3" s="762"/>
      <c r="I3" s="1047"/>
      <c r="J3" s="762"/>
      <c r="K3" s="650" t="s">
        <v>894</v>
      </c>
    </row>
    <row customHeight="1" ht="15" hidden="1">
      <c r="A4" s="866"/>
      <c r="B4" s="2657"/>
      <c r="C4" s="2658"/>
      <c r="D4" s="1050" t="str">
        <f>B3&amp;".2"</f>
        <v>.2</v>
      </c>
      <c r="E4" s="1051" t="s">
        <v>895</v>
      </c>
      <c r="F4" s="1052" t="s">
        <v>347</v>
      </c>
      <c r="G4" s="2104" t="s">
        <v>24</v>
      </c>
      <c r="H4" s="762"/>
      <c r="I4" s="2104" t="s">
        <v>24</v>
      </c>
      <c r="J4" s="762"/>
      <c r="K4" s="650" t="s">
        <v>896</v>
      </c>
    </row>
    <row s="31548" customFormat="1" customHeight="1" ht="15" hidden="1">
      <c r="C5" s="1033"/>
      <c r="U5" s="781"/>
    </row>
    <row customHeight="1" ht="22.5" hidden="1">
      <c r="A6" s="866"/>
      <c r="B6" s="2657"/>
      <c r="C6" s="2658" t="s">
        <v>103</v>
      </c>
      <c r="D6" s="1050" t="str">
        <f>B6&amp;".1"</f>
        <v>.1</v>
      </c>
      <c r="E6" s="1051" t="s">
        <v>897</v>
      </c>
      <c r="F6" s="1052" t="s">
        <v>347</v>
      </c>
      <c r="G6" s="1047"/>
      <c r="H6" s="762"/>
      <c r="I6" s="1047"/>
      <c r="J6" s="762"/>
      <c r="K6" s="650" t="s">
        <v>898</v>
      </c>
    </row>
    <row customHeight="1" ht="15" hidden="1">
      <c r="A7" s="866"/>
      <c r="B7" s="2657"/>
      <c r="C7" s="2658"/>
      <c r="D7" s="1050" t="str">
        <f>B6&amp;".2"</f>
        <v>.2</v>
      </c>
      <c r="E7" s="1051" t="s">
        <v>895</v>
      </c>
      <c r="F7" s="1052" t="s">
        <v>347</v>
      </c>
      <c r="G7" s="2104" t="s">
        <v>24</v>
      </c>
      <c r="H7" s="762"/>
      <c r="I7" s="2104" t="s">
        <v>24</v>
      </c>
      <c r="J7" s="762"/>
      <c r="K7" s="650" t="s">
        <v>896</v>
      </c>
    </row>
    <row s="31548" customFormat="1" customHeight="1" ht="15" hidden="1">
      <c r="C8" s="1033"/>
      <c r="U8" s="781"/>
    </row>
    <row customHeight="1" ht="22.5" hidden="1">
      <c r="A9" s="866"/>
      <c r="B9" s="2657"/>
      <c r="C9" s="2658" t="s">
        <v>103</v>
      </c>
      <c r="D9" s="1050" t="str">
        <f>B9&amp;".1"</f>
        <v>.1</v>
      </c>
      <c r="E9" s="1051" t="s">
        <v>899</v>
      </c>
      <c r="F9" s="1052" t="s">
        <v>347</v>
      </c>
      <c r="G9" s="1058" t="s">
        <v>24</v>
      </c>
      <c r="H9" s="762" t="s">
        <v>24</v>
      </c>
      <c r="I9" s="1058" t="s">
        <v>24</v>
      </c>
      <c r="J9" s="762" t="s">
        <v>24</v>
      </c>
      <c r="K9" s="650"/>
    </row>
    <row customHeight="1" ht="15" hidden="1">
      <c r="A10" s="866"/>
      <c r="B10" s="2657"/>
      <c r="C10" s="2658"/>
      <c r="D10" s="1050" t="str">
        <f>B9&amp;".2"</f>
        <v>.2</v>
      </c>
      <c r="E10" s="1051" t="s">
        <v>900</v>
      </c>
      <c r="F10" s="1052" t="s">
        <v>347</v>
      </c>
      <c r="G10" s="2098" t="s">
        <v>24</v>
      </c>
      <c r="H10" s="762" t="s">
        <v>24</v>
      </c>
      <c r="I10" s="2098" t="s">
        <v>24</v>
      </c>
      <c r="J10" s="762" t="s">
        <v>24</v>
      </c>
      <c r="K10" s="650" t="s">
        <v>901</v>
      </c>
    </row>
    <row customHeight="1" ht="15" hidden="1">
      <c r="A11" s="866"/>
      <c r="B11" s="2657"/>
      <c r="C11" s="2658"/>
      <c r="D11" s="1050" t="str">
        <f>B9&amp;".3"</f>
        <v>.3</v>
      </c>
      <c r="E11" s="1051" t="s">
        <v>902</v>
      </c>
      <c r="F11" s="1052" t="s">
        <v>347</v>
      </c>
      <c r="G11" s="2098" t="s">
        <v>24</v>
      </c>
      <c r="H11" s="762" t="s">
        <v>24</v>
      </c>
      <c r="I11" s="2098" t="s">
        <v>24</v>
      </c>
      <c r="J11" s="762" t="s">
        <v>24</v>
      </c>
      <c r="K11" s="650" t="s">
        <v>903</v>
      </c>
    </row>
    <row s="31548" customFormat="1" customHeight="1" ht="15" hidden="1">
      <c r="C12" s="1033"/>
      <c r="U12" s="781"/>
    </row>
    <row customHeight="1" ht="33.75" hidden="1">
      <c r="A13" s="866"/>
      <c r="B13" s="2657"/>
      <c r="C13" s="2658" t="s">
        <v>103</v>
      </c>
      <c r="D13" s="1050" t="str">
        <f>B13&amp;".1"</f>
        <v>.1</v>
      </c>
      <c r="E13" s="1051" t="s">
        <v>904</v>
      </c>
      <c r="F13" s="1052" t="s">
        <v>347</v>
      </c>
      <c r="G13" s="1058" t="s">
        <v>24</v>
      </c>
      <c r="H13" s="762" t="s">
        <v>24</v>
      </c>
      <c r="I13" s="1058" t="s">
        <v>24</v>
      </c>
      <c r="J13" s="762" t="s">
        <v>24</v>
      </c>
      <c r="K13" s="650" t="s">
        <v>905</v>
      </c>
    </row>
    <row customHeight="1" ht="15" hidden="1">
      <c r="B14" s="2657"/>
      <c r="C14" s="2658"/>
      <c r="D14" s="1050" t="str">
        <f>B13&amp;".2"</f>
        <v>.2</v>
      </c>
      <c r="E14" s="1051" t="s">
        <v>906</v>
      </c>
      <c r="F14" s="1052" t="s">
        <v>347</v>
      </c>
      <c r="G14" s="2098" t="s">
        <v>24</v>
      </c>
      <c r="H14" s="762" t="s">
        <v>24</v>
      </c>
      <c r="I14" s="2098" t="s">
        <v>24</v>
      </c>
      <c r="J14" s="762" t="s">
        <v>24</v>
      </c>
      <c r="K14" s="650" t="s">
        <v>907</v>
      </c>
    </row>
    <row s="31548" customFormat="1" customHeight="1" ht="15" hidden="1">
      <c r="C15" s="1033"/>
      <c r="U15" s="781"/>
    </row>
    <row s="31548" customFormat="1" customHeight="1" ht="15" hidden="1">
      <c r="C16" s="1033"/>
      <c r="U16" s="781"/>
    </row>
    <row s="31548" customFormat="1" customHeight="1" ht="15" hidden="1">
      <c r="C17" s="1033"/>
      <c r="U17" s="781"/>
    </row>
    <row s="31548" customFormat="1" customHeight="1" ht="15" hidden="1">
      <c r="C18" s="1033"/>
      <c r="U18" s="781"/>
    </row>
    <row s="31548" customFormat="1" customHeight="1" ht="15" hidden="1">
      <c r="C19" s="1033"/>
      <c r="U19" s="781"/>
    </row>
    <row s="31548" customFormat="1" customHeight="1" ht="15" hidden="1">
      <c r="C20" s="1033"/>
      <c r="U20" s="781"/>
    </row>
    <row customHeight="1" ht="15">
      <c r="C21" s="538"/>
      <c r="D21" s="870"/>
      <c r="E21" s="870"/>
      <c r="F21" s="870"/>
      <c r="G21" s="870"/>
      <c r="H21" s="870"/>
      <c r="I21" s="870"/>
      <c r="J21" s="870"/>
    </row>
    <row customHeight="1" ht="22.5">
      <c r="C22" s="538"/>
      <c r="D22" s="250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505"/>
      <c r="F22" s="2505"/>
      <c r="G22" s="2505"/>
      <c r="H22" s="2505"/>
      <c r="I22" s="2505"/>
      <c r="J22" s="1037"/>
      <c r="K22" s="898"/>
    </row>
    <row customHeight="1" ht="15">
      <c r="C23" s="538"/>
      <c r="D23" s="2474" t="str">
        <f>IF(org=0,"Не определено",org)</f>
        <v>АО "Мурманэнергосбыт"</v>
      </c>
      <c r="E23" s="2474"/>
      <c r="F23" s="2474"/>
      <c r="G23" s="2474"/>
      <c r="H23" s="2474"/>
      <c r="I23" s="2474"/>
      <c r="J23" s="1037"/>
      <c r="K23" s="898"/>
    </row>
    <row customHeight="1" ht="15">
      <c r="C24" s="538"/>
      <c r="D24" s="870"/>
      <c r="E24" s="870"/>
      <c r="F24" s="870"/>
      <c r="G24" s="898">
        <v>22</v>
      </c>
      <c r="H24" s="1113"/>
      <c r="I24" s="898">
        <v>22</v>
      </c>
      <c r="J24" s="1113"/>
    </row>
    <row s="31547" customFormat="1" customHeight="1" ht="0.75">
      <c r="A25" s="1120"/>
      <c r="C25" s="538"/>
      <c r="D25" s="870"/>
      <c r="E25" s="870"/>
      <c r="F25" s="870"/>
      <c r="G25" s="898"/>
      <c r="H25" s="1113"/>
      <c r="I25" s="898" t="s">
        <v>125</v>
      </c>
      <c r="J25" s="1113"/>
      <c r="K25" s="778"/>
      <c r="U25" s="1036"/>
    </row>
    <row customHeight="1" ht="15">
      <c r="C26" s="538"/>
      <c r="D26" s="1072"/>
      <c r="E26" s="2636" t="s">
        <v>114</v>
      </c>
      <c r="F26" s="2637"/>
      <c r="G26" s="2659" t="str">
        <f>IF(G25="","",INDEX(DIFFERENTIATION_UNMERGE_VD,MATCH(G25,DIFFERENTIATION_ID_DIFF,0)))</f>
        <v/>
      </c>
      <c r="H26" s="2660"/>
      <c r="I26" s="2659">
        <f>IF(I25="","",INDEX(DIFFERENTIATION_UNMERGE_VD,MATCH(I25,DIFFERENTIATION_ID_DIFF,0)))</f>
        <v>0</v>
      </c>
      <c r="J26" s="2660"/>
      <c r="K26" s="2449" t="s">
        <v>342</v>
      </c>
    </row>
    <row s="31547" customFormat="1" customHeight="1" ht="15">
      <c r="A27" s="1120"/>
      <c r="C27" s="538"/>
      <c r="D27" s="1072"/>
      <c r="E27" s="2636" t="s">
        <v>605</v>
      </c>
      <c r="F27" s="2637"/>
      <c r="G27" s="2659" t="str">
        <f>IF(G25="","",INDEX(DIFFERENTIATION_UNMERGE_AREA,MATCH(G25,DIFFERENTIATION_ID_DIFF,0)))</f>
        <v/>
      </c>
      <c r="H27" s="2660"/>
      <c r="I27" s="2659" t="str">
        <f>IF(I25="","",INDEX(DIFFERENTIATION_UNMERGE_AREA,MATCH(I25,DIFFERENTIATION_ID_DIFF,0)))</f>
        <v/>
      </c>
      <c r="J27" s="2660"/>
      <c r="K27" s="2453"/>
      <c r="U27" s="1036"/>
    </row>
    <row s="31547" customFormat="1" customHeight="1" ht="15">
      <c r="A28" s="1120"/>
      <c r="C28" s="538"/>
      <c r="D28" s="1072"/>
      <c r="E28" s="2636" t="s">
        <v>606</v>
      </c>
      <c r="F28" s="2637"/>
      <c r="G28" s="2659" t="str">
        <f>IF(G25="","",INDEX(DIFFERENTIATION_UNMERGE_SYSTEM,MATCH(G25,DIFFERENTIATION_ID_DIFF,0)))</f>
        <v/>
      </c>
      <c r="H28" s="2660"/>
      <c r="I28" s="2659" t="str">
        <f>IF(I25="","",INDEX(DIFFERENTIATION_UNMERGE_SYSTEM,MATCH(I25,DIFFERENTIATION_ID_DIFF,0)))</f>
        <v>без дифференциации</v>
      </c>
      <c r="J28" s="2660"/>
      <c r="K28" s="2453"/>
      <c r="U28" s="1036"/>
    </row>
    <row s="31547" customFormat="1" customHeight="1" ht="15">
      <c r="A29" s="1120"/>
      <c r="C29" s="538"/>
      <c r="D29" s="2638" t="s">
        <v>341</v>
      </c>
      <c r="E29" s="2639"/>
      <c r="F29" s="2639"/>
      <c r="G29" s="1248"/>
      <c r="H29" s="1248"/>
      <c r="I29" s="1248"/>
      <c r="J29" s="1249"/>
      <c r="K29" s="2453"/>
      <c r="U29" s="1036"/>
    </row>
    <row customHeight="1" ht="33.75">
      <c r="C30" s="538"/>
      <c r="D30" s="1122" t="s">
        <v>87</v>
      </c>
      <c r="E30" s="1121" t="s">
        <v>343</v>
      </c>
      <c r="F30" s="1121" t="s">
        <v>607</v>
      </c>
      <c r="G30" s="1169" t="s">
        <v>344</v>
      </c>
      <c r="H30" s="1168" t="s">
        <v>431</v>
      </c>
      <c r="I30" s="1045" t="s">
        <v>344</v>
      </c>
      <c r="J30" s="826" t="s">
        <v>431</v>
      </c>
      <c r="K30" s="2459"/>
    </row>
    <row customHeight="1" ht="15" hidden="1">
      <c r="C31" s="538"/>
      <c r="D31" s="954"/>
      <c r="E31" s="954"/>
      <c r="F31" s="954"/>
      <c r="G31" s="1020"/>
      <c r="H31" s="1020"/>
      <c r="I31" s="1020"/>
      <c r="J31" s="1020"/>
      <c r="K31" s="650"/>
    </row>
    <row customHeight="1" ht="22.5">
      <c r="A32" s="866"/>
      <c r="B32" s="866" t="s">
        <v>908</v>
      </c>
      <c r="C32" s="887"/>
      <c r="D32" s="1053">
        <v>1</v>
      </c>
      <c r="E32" s="1054" t="s">
        <v>909</v>
      </c>
      <c r="F32" s="1052" t="s">
        <v>347</v>
      </c>
      <c r="G32" s="1174" t="s">
        <v>347</v>
      </c>
      <c r="H32" s="1174" t="s">
        <v>347</v>
      </c>
      <c r="I32" s="1052" t="s">
        <v>347</v>
      </c>
      <c r="J32" s="1052" t="s">
        <v>347</v>
      </c>
      <c r="K32" s="650"/>
    </row>
    <row customHeight="1" ht="11.25">
      <c r="A33" s="866"/>
      <c r="C33" s="866"/>
      <c r="D33" s="708"/>
      <c r="E33" s="941" t="s">
        <v>627</v>
      </c>
      <c r="F33" s="933"/>
      <c r="G33" s="933"/>
      <c r="H33" s="933"/>
      <c r="I33" s="933"/>
      <c r="J33" s="933"/>
      <c r="K33" s="934"/>
      <c r="U33" s="866"/>
    </row>
    <row customHeight="1" ht="22.5">
      <c r="A34" s="866"/>
      <c r="B34" s="942" t="s">
        <v>910</v>
      </c>
      <c r="C34" s="887"/>
      <c r="D34" s="1053">
        <v>2</v>
      </c>
      <c r="E34" s="1054" t="s">
        <v>911</v>
      </c>
      <c r="F34" s="1181" t="s">
        <v>347</v>
      </c>
      <c r="G34" s="1181" t="s">
        <v>347</v>
      </c>
      <c r="H34" s="1181" t="s">
        <v>347</v>
      </c>
      <c r="I34" s="1052"/>
      <c r="J34" s="1052"/>
      <c r="K34" s="650"/>
    </row>
    <row customHeight="1" ht="11.25">
      <c r="A35" s="866"/>
      <c r="C35" s="866"/>
      <c r="D35" s="708"/>
      <c r="E35" s="941" t="s">
        <v>912</v>
      </c>
      <c r="F35" s="933"/>
      <c r="G35" s="1055"/>
      <c r="H35" s="933"/>
      <c r="I35" s="1055"/>
      <c r="J35" s="933"/>
      <c r="K35" s="934"/>
      <c r="U35" s="866"/>
    </row>
    <row customHeight="1" ht="67.5">
      <c r="A36" s="866"/>
      <c r="B36" s="866" t="s">
        <v>913</v>
      </c>
      <c r="C36" s="887"/>
      <c r="D36" s="1053">
        <v>3</v>
      </c>
      <c r="E36" s="1054" t="s">
        <v>914</v>
      </c>
      <c r="F36" s="1056" t="s">
        <v>347</v>
      </c>
      <c r="G36" s="1175" t="s">
        <v>915</v>
      </c>
      <c r="H36" s="1174" t="s">
        <v>347</v>
      </c>
      <c r="I36" s="885" t="s">
        <v>915</v>
      </c>
      <c r="J36" s="1052" t="s">
        <v>347</v>
      </c>
      <c r="K36" s="650" t="s">
        <v>916</v>
      </c>
    </row>
    <row customHeight="1" ht="11.25">
      <c r="A37" s="866"/>
      <c r="C37" s="866"/>
      <c r="D37" s="708"/>
      <c r="E37" s="941" t="s">
        <v>917</v>
      </c>
      <c r="F37" s="933"/>
      <c r="G37" s="1055"/>
      <c r="H37" s="1055"/>
      <c r="I37" s="1055"/>
      <c r="J37" s="1055"/>
      <c r="K37" s="934"/>
      <c r="U37" s="866"/>
    </row>
    <row customHeight="1" ht="67.5">
      <c r="A38" s="866"/>
      <c r="B38" s="866" t="s">
        <v>918</v>
      </c>
      <c r="C38" s="887"/>
      <c r="D38" s="1053">
        <v>4</v>
      </c>
      <c r="E38" s="1054" t="s">
        <v>919</v>
      </c>
      <c r="F38" s="1056" t="s">
        <v>347</v>
      </c>
      <c r="G38" s="1175" t="s">
        <v>915</v>
      </c>
      <c r="H38" s="1176" t="s">
        <v>347</v>
      </c>
      <c r="I38" s="885" t="s">
        <v>915</v>
      </c>
      <c r="J38" s="882" t="s">
        <v>347</v>
      </c>
      <c r="K38" s="1040" t="s">
        <v>920</v>
      </c>
    </row>
    <row customHeight="1" ht="11.25">
      <c r="A39" s="866"/>
      <c r="C39" s="866"/>
      <c r="D39" s="708"/>
      <c r="E39" s="941" t="s">
        <v>921</v>
      </c>
      <c r="F39" s="933"/>
      <c r="G39" s="933"/>
      <c r="H39" s="1057"/>
      <c r="I39" s="933"/>
      <c r="J39" s="1057"/>
      <c r="K39" s="934"/>
      <c r="U39" s="866"/>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FB70D-CB48-49F8-7CE4-5C70614528A6}"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37100" width="6.7109375" hidden="1" customWidth="1"/>
    <col min="4" max="4" style="31548" width="6.7109375" hidden="1" customWidth="1"/>
    <col min="5" max="5" style="36887" width="3.7109375" customWidth="1"/>
    <col min="6" max="6" style="31547" width="6.28125" customWidth="1"/>
    <col min="7" max="7" style="31547" width="37.7109375" customWidth="1"/>
    <col min="8" max="8" style="32302" width="16.57421875" customWidth="1"/>
    <col min="9" max="10" style="31547" width="19.7109375" customWidth="1"/>
    <col min="11" max="11" style="31547" width="25.00390625" customWidth="1"/>
    <col min="12" max="13" style="31547" width="25.7109375" customWidth="1"/>
    <col min="14" max="16" style="31547" width="17.7109375" customWidth="1"/>
    <col min="17" max="24" style="31547" width="19.7109375" customWidth="1"/>
    <col min="25" max="25" style="31547" width="8.00390625" customWidth="1"/>
    <col min="26" max="26" style="31547" width="3.28125" customWidth="1"/>
    <col min="27" max="27" style="31547" width="6.28125" customWidth="1"/>
    <col min="28" max="28" style="31547" width="34.140625" customWidth="1"/>
    <col min="29" max="30" style="31547" width="9.140625"/>
  </cols>
  <sheetData>
    <row s="31548" customFormat="1" customHeight="1" ht="10.5" hidden="1">
      <c r="A1" s="1256"/>
      <c r="B1" s="1256"/>
      <c r="C1" s="1256"/>
      <c r="E1" s="898"/>
      <c r="H1" s="1523"/>
    </row>
    <row customHeight="1" ht="10.5" hidden="1"/>
    <row s="37077" customFormat="1" customHeight="1" ht="10.5" hidden="1">
      <c r="A3" s="1256"/>
      <c r="B3" s="1256"/>
      <c r="C3" s="1256"/>
      <c r="D3" s="778"/>
      <c r="E3" s="723"/>
      <c r="H3" s="1519"/>
    </row>
    <row customHeight="1" ht="3"/>
    <row customHeight="1" ht="25.5">
      <c r="F5" s="2560" t="str">
        <f>IP_NAME_FORM</f>
        <v>Форма 7. Информация об инвестиционных программах организации горячего водоснабжения и отчетах об их исполнении</v>
      </c>
      <c r="G5" s="2560"/>
      <c r="H5" s="2560"/>
      <c r="I5" s="2560"/>
      <c r="J5" s="2560"/>
      <c r="K5" s="2560"/>
      <c r="M5" s="943"/>
      <c r="AB5" s="1267"/>
    </row>
    <row s="32343" customFormat="1" customHeight="1" ht="15.75">
      <c r="A6" s="1529"/>
      <c r="B6" s="1529"/>
      <c r="C6" s="1529"/>
      <c r="D6" s="1523"/>
      <c r="E6" s="2001"/>
      <c r="F6" s="2561" t="str">
        <f>IF(org=0,"Не определено",org)</f>
        <v>АО "Мурманэнергосбыт"</v>
      </c>
      <c r="G6" s="2561"/>
      <c r="H6" s="2561"/>
      <c r="I6" s="2561"/>
      <c r="J6" s="2561"/>
      <c r="K6" s="2561"/>
      <c r="M6" s="943"/>
      <c r="AB6" s="1511"/>
    </row>
    <row r="8" customHeight="1" ht="10.5">
      <c r="A8" s="1413"/>
      <c r="B8" s="1413"/>
      <c r="C8" s="1413"/>
      <c r="F8" s="2376" t="s">
        <v>341</v>
      </c>
      <c r="G8" s="2377"/>
      <c r="H8" s="2377"/>
      <c r="I8" s="2377"/>
      <c r="J8" s="2377"/>
      <c r="K8" s="2377"/>
      <c r="L8" s="2377"/>
      <c r="M8" s="2377"/>
      <c r="N8" s="2377"/>
      <c r="O8" s="2377"/>
      <c r="P8" s="2377"/>
      <c r="Q8" s="2377"/>
      <c r="R8" s="2377"/>
      <c r="S8" s="2377"/>
      <c r="T8" s="2377"/>
      <c r="U8" s="2377"/>
      <c r="V8" s="2377"/>
      <c r="W8" s="2377"/>
      <c r="X8" s="2377"/>
      <c r="Y8" s="2377"/>
      <c r="Z8" s="2377"/>
      <c r="AA8" s="2377"/>
      <c r="AB8" s="2378"/>
    </row>
    <row customHeight="1" ht="41.25">
      <c r="A9" s="1266"/>
      <c r="B9" s="1266"/>
      <c r="C9" s="1266"/>
      <c r="F9" s="2392" t="s">
        <v>87</v>
      </c>
      <c r="G9" s="2392" t="s">
        <v>922</v>
      </c>
      <c r="H9" s="2449" t="s">
        <v>923</v>
      </c>
      <c r="I9" s="2392" t="s">
        <v>924</v>
      </c>
      <c r="J9" s="2392" t="s">
        <v>925</v>
      </c>
      <c r="K9" s="2392" t="s">
        <v>926</v>
      </c>
      <c r="L9" s="2392" t="s">
        <v>927</v>
      </c>
      <c r="M9" s="2392" t="s">
        <v>928</v>
      </c>
      <c r="N9" s="2482" t="s">
        <v>929</v>
      </c>
      <c r="O9" s="2482"/>
      <c r="P9" s="2482"/>
      <c r="Q9" s="2665" t="s">
        <v>930</v>
      </c>
      <c r="R9" s="2666"/>
      <c r="S9" s="2666"/>
      <c r="T9" s="2667"/>
      <c r="U9" s="2665" t="s">
        <v>931</v>
      </c>
      <c r="V9" s="2666"/>
      <c r="W9" s="2666"/>
      <c r="X9" s="2667"/>
      <c r="Y9" s="2376" t="s">
        <v>932</v>
      </c>
      <c r="Z9" s="2377"/>
      <c r="AA9" s="2377"/>
      <c r="AB9" s="2378"/>
    </row>
    <row customHeight="1" ht="41.25">
      <c r="A10" s="1266"/>
      <c r="B10" s="1266"/>
      <c r="C10" s="1266"/>
      <c r="F10" s="2449"/>
      <c r="G10" s="2449"/>
      <c r="H10" s="2510"/>
      <c r="I10" s="2449"/>
      <c r="J10" s="2449"/>
      <c r="K10" s="2449"/>
      <c r="L10" s="2449"/>
      <c r="M10" s="2449"/>
      <c r="N10" s="1264" t="s">
        <v>933</v>
      </c>
      <c r="O10" s="1264" t="s">
        <v>934</v>
      </c>
      <c r="P10" s="1265" t="s">
        <v>935</v>
      </c>
      <c r="Q10" s="1276" t="s">
        <v>88</v>
      </c>
      <c r="R10" s="1276" t="s">
        <v>936</v>
      </c>
      <c r="S10" s="1276" t="s">
        <v>937</v>
      </c>
      <c r="T10" s="1277" t="s">
        <v>938</v>
      </c>
      <c r="U10" s="1276" t="s">
        <v>88</v>
      </c>
      <c r="V10" s="1276" t="s">
        <v>939</v>
      </c>
      <c r="W10" s="1276" t="s">
        <v>937</v>
      </c>
      <c r="X10" s="1277" t="s">
        <v>938</v>
      </c>
      <c r="Y10" s="662" t="s">
        <v>940</v>
      </c>
      <c r="Z10" s="2376" t="s">
        <v>87</v>
      </c>
      <c r="AA10" s="2378"/>
      <c r="AB10" s="1411" t="s">
        <v>941</v>
      </c>
    </row>
    <row s="32289" customFormat="1" customHeight="1" ht="5.25" hidden="1">
      <c r="A11" s="1414"/>
      <c r="B11" s="1414"/>
      <c r="C11" s="1414"/>
      <c r="E11" s="1412"/>
      <c r="F11" s="2663" t="s">
        <v>417</v>
      </c>
      <c r="G11" s="2668"/>
      <c r="H11" s="2661"/>
      <c r="I11" s="2661"/>
      <c r="J11" s="2661"/>
      <c r="K11" s="2664"/>
      <c r="L11" s="2664"/>
      <c r="M11" s="2664"/>
      <c r="N11" s="2661"/>
      <c r="O11" s="2661"/>
      <c r="P11" s="2392"/>
      <c r="Q11" s="2462"/>
      <c r="R11" s="2462"/>
      <c r="S11" s="2462"/>
      <c r="T11" s="2661"/>
      <c r="U11" s="2462"/>
      <c r="V11" s="2462"/>
      <c r="W11" s="2462"/>
      <c r="X11" s="2661"/>
      <c r="Y11" s="2403"/>
      <c r="Z11" s="2403"/>
      <c r="AA11" s="2403"/>
      <c r="AB11" s="2403"/>
      <c r="AD11" s="872" t="s">
        <v>942</v>
      </c>
    </row>
    <row s="32289" customFormat="1" customHeight="1" ht="5.25" hidden="1">
      <c r="A12" s="1257"/>
      <c r="B12" s="1257"/>
      <c r="C12" s="1257"/>
      <c r="E12" s="879"/>
      <c r="F12" s="2663"/>
      <c r="G12" s="2668"/>
      <c r="H12" s="2661"/>
      <c r="I12" s="2661"/>
      <c r="J12" s="2661"/>
      <c r="K12" s="2664"/>
      <c r="L12" s="2664"/>
      <c r="M12" s="2664"/>
      <c r="N12" s="2661"/>
      <c r="O12" s="2661"/>
      <c r="P12" s="2392"/>
      <c r="Q12" s="2462"/>
      <c r="R12" s="2462"/>
      <c r="S12" s="2462"/>
      <c r="T12" s="2661"/>
      <c r="U12" s="2462"/>
      <c r="V12" s="2462"/>
      <c r="W12" s="2462"/>
      <c r="X12" s="2661"/>
      <c r="Y12" s="2662"/>
      <c r="Z12" s="2662"/>
      <c r="AA12" s="2662"/>
      <c r="AB12" s="2662"/>
    </row>
    <row customHeight="1" ht="10.5">
      <c r="F13" s="1263"/>
      <c r="G13" s="1011" t="s">
        <v>943</v>
      </c>
      <c r="H13" s="1531"/>
      <c r="I13" s="933"/>
      <c r="J13" s="933"/>
      <c r="K13" s="933"/>
      <c r="L13" s="933"/>
      <c r="M13" s="933"/>
      <c r="N13" s="933"/>
      <c r="O13" s="933"/>
      <c r="P13" s="933"/>
      <c r="Q13" s="933"/>
      <c r="R13" s="933"/>
      <c r="S13" s="933"/>
      <c r="T13" s="933"/>
      <c r="U13" s="933"/>
      <c r="V13" s="933"/>
      <c r="W13" s="933"/>
      <c r="X13" s="933"/>
      <c r="Y13" s="933"/>
      <c r="Z13" s="1057"/>
      <c r="AA13" s="1057"/>
      <c r="AB13" s="1278"/>
    </row>
    <row r="15" s="32289" customFormat="1" customHeight="1" ht="10.5">
      <c r="A15" s="1530"/>
      <c r="B15" s="1530"/>
      <c r="C15" s="1530"/>
      <c r="E15" s="879"/>
      <c r="H15" s="872">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14E46-1B6C-1B8F-6453-C8402BAB09BA}" mc:Ignorable="x14ac xr xr2 xr3">
  <sheetPr>
    <tabColor rgb="FFCCCCFF"/>
  </sheetPr>
  <dimension ref="A1:AL16"/>
  <sheetViews>
    <sheetView topLeftCell="A1" showGridLines="0" zoomScale="90" workbookViewId="0">
      <selection activeCell="A1" sqref="A1"/>
    </sheetView>
  </sheetViews>
  <sheetFormatPr defaultColWidth="9.140625" customHeight="1" defaultRowHeight="11.25"/>
  <cols>
    <col min="1" max="1" style="31637" width="6.421875" hidden="1" customWidth="1"/>
    <col min="2" max="2" style="31637" width="2.00390625" hidden="1" customWidth="1"/>
    <col min="3" max="3" style="31637" width="3.7109375" customWidth="1"/>
    <col min="4" max="4" style="31637" width="4.28125" customWidth="1"/>
    <col min="5" max="5" style="31637" width="45.00390625" customWidth="1"/>
    <col min="6" max="6" style="31637" width="6.421875" customWidth="1"/>
    <col min="7" max="7" style="31637" width="4.421875" customWidth="1"/>
    <col min="8" max="8" style="31637" width="5.57421875" customWidth="1"/>
    <col min="9" max="9" style="31637" width="52.8515625" customWidth="1"/>
    <col min="10" max="10" style="31637" width="7.00390625" customWidth="1"/>
    <col min="11" max="11" style="31637" width="3.7109375" customWidth="1"/>
    <col min="12" max="12" style="31637" width="6.28125" customWidth="1"/>
    <col min="13" max="13" style="31637" width="56.28125" customWidth="1"/>
    <col min="14" max="14" style="31638" width="9.140625"/>
    <col min="15" max="20" style="31639" width="9.140625" hidden="1"/>
    <col min="21" max="24" style="31640" width="9.140625" hidden="1"/>
    <col min="25" max="37" style="31638" width="9.140625" hidden="1"/>
    <col min="38" max="38" style="31638" width="9.140625"/>
  </cols>
  <sheetData>
    <row customHeight="1" ht="11.25" hidden="1"/>
    <row customHeight="1" ht="11.25" hidden="1"/>
    <row r="4" customHeight="1" ht="34.5">
      <c r="A4" s="946"/>
      <c r="B4" s="946"/>
      <c r="D4" s="2384" t="str">
        <f>Титульный!E5</f>
        <v>Показатели, подлежащие раскрытию в сфере горячего водоснабжения (цены и тарифы)</v>
      </c>
      <c r="E4" s="2385"/>
      <c r="F4" s="2385"/>
      <c r="G4" s="2385"/>
      <c r="H4" s="2385"/>
      <c r="I4" s="2386"/>
      <c r="J4" s="945"/>
      <c r="K4" s="945"/>
      <c r="L4" s="945"/>
      <c r="M4" s="945"/>
    </row>
    <row s="31559" customFormat="1" customHeight="1" ht="15">
      <c r="A5" s="946"/>
      <c r="B5" s="946"/>
      <c r="C5" s="946"/>
      <c r="D5" s="2387" t="str">
        <f>IF(org=0,"Не определено",org)</f>
        <v>АО "Мурманэнергосбыт"</v>
      </c>
      <c r="E5" s="2388"/>
      <c r="F5" s="2388"/>
      <c r="G5" s="2388"/>
      <c r="H5" s="2388"/>
      <c r="I5" s="2389"/>
      <c r="J5" s="947"/>
      <c r="K5" s="947"/>
      <c r="L5" s="947"/>
      <c r="M5" s="947"/>
      <c r="N5" s="947"/>
      <c r="O5" s="1231"/>
      <c r="P5" s="1231"/>
      <c r="Q5" s="1231"/>
      <c r="R5" s="1231"/>
      <c r="S5" s="1231"/>
      <c r="T5" s="1231"/>
      <c r="U5" s="1627"/>
      <c r="V5" s="1627"/>
      <c r="W5" s="1627"/>
      <c r="X5" s="1627"/>
      <c r="Y5" s="947"/>
      <c r="Z5" s="947"/>
      <c r="AA5" s="947"/>
      <c r="AB5" s="947"/>
      <c r="AC5" s="947"/>
      <c r="AD5" s="947"/>
      <c r="AE5" s="947"/>
      <c r="AF5" s="947"/>
      <c r="AG5" s="947"/>
      <c r="AH5" s="947"/>
      <c r="AI5" s="947"/>
      <c r="AJ5" s="947"/>
      <c r="AK5" s="947"/>
      <c r="AL5" s="947"/>
    </row>
    <row s="31566" customFormat="1" customHeight="1" ht="6">
      <c r="A6" s="2390"/>
      <c r="B6" s="2390"/>
      <c r="C6" s="2390"/>
      <c r="D6" s="2390"/>
      <c r="E6" s="2390"/>
      <c r="F6" s="2390"/>
      <c r="G6" s="949"/>
      <c r="H6" s="949"/>
      <c r="I6" s="949"/>
      <c r="J6" s="949"/>
      <c r="K6" s="949"/>
      <c r="N6" s="951"/>
      <c r="O6" s="1780"/>
      <c r="P6" s="1780"/>
      <c r="Q6" s="1780"/>
      <c r="R6" s="1780"/>
      <c r="S6" s="1780"/>
      <c r="T6" s="1780"/>
      <c r="U6" s="1630"/>
      <c r="V6" s="1630"/>
      <c r="W6" s="1630"/>
      <c r="X6" s="1630"/>
      <c r="Y6" s="951"/>
      <c r="Z6" s="951"/>
      <c r="AA6" s="951"/>
      <c r="AB6" s="951"/>
      <c r="AC6" s="951"/>
      <c r="AD6" s="951"/>
      <c r="AE6" s="951"/>
      <c r="AF6" s="951"/>
      <c r="AG6" s="951"/>
      <c r="AH6" s="951"/>
      <c r="AI6" s="951"/>
      <c r="AJ6" s="951"/>
      <c r="AK6" s="951"/>
      <c r="AL6" s="951"/>
    </row>
    <row customHeight="1" ht="45.75" hidden="1">
      <c r="E7" s="23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96"/>
      <c r="G7" s="2396"/>
      <c r="H7" s="2396"/>
      <c r="I7" s="2396"/>
      <c r="J7" s="2396"/>
      <c r="K7" s="2396"/>
      <c r="L7" s="2396"/>
      <c r="M7" s="2396"/>
    </row>
    <row s="31559" customFormat="1" customHeight="1" ht="6">
      <c r="A8" s="952"/>
      <c r="B8" s="952"/>
      <c r="C8" s="952"/>
      <c r="D8" s="952"/>
      <c r="E8" s="952"/>
      <c r="F8" s="952"/>
      <c r="G8" s="952"/>
      <c r="H8" s="952"/>
      <c r="I8" s="952"/>
      <c r="J8" s="952"/>
      <c r="K8" s="952"/>
      <c r="L8" s="952"/>
      <c r="M8" s="950"/>
      <c r="N8" s="947"/>
      <c r="O8" s="1231"/>
      <c r="P8" s="1231"/>
      <c r="Q8" s="1231"/>
      <c r="R8" s="1231"/>
      <c r="S8" s="1231"/>
      <c r="T8" s="1231"/>
      <c r="U8" s="1627"/>
      <c r="V8" s="1627"/>
      <c r="W8" s="1627"/>
      <c r="X8" s="1627"/>
      <c r="Y8" s="947"/>
      <c r="Z8" s="947"/>
      <c r="AA8" s="947"/>
      <c r="AB8" s="947"/>
      <c r="AC8" s="947"/>
      <c r="AD8" s="947"/>
      <c r="AE8" s="947"/>
      <c r="AF8" s="947"/>
      <c r="AG8" s="947"/>
      <c r="AH8" s="947"/>
      <c r="AI8" s="947"/>
      <c r="AJ8" s="947"/>
      <c r="AK8" s="947"/>
      <c r="AL8" s="947"/>
    </row>
    <row customHeight="1" ht="18">
      <c r="A9" s="2391"/>
      <c r="B9" s="684"/>
      <c r="C9" s="684"/>
      <c r="D9" s="2392" t="s">
        <v>114</v>
      </c>
      <c r="E9" s="2392"/>
      <c r="F9" s="2393" t="s">
        <v>115</v>
      </c>
      <c r="G9" s="2394"/>
      <c r="H9" s="2394"/>
      <c r="I9" s="2394"/>
      <c r="J9" s="2397" t="s">
        <v>116</v>
      </c>
      <c r="K9" s="2397"/>
      <c r="L9" s="2397"/>
      <c r="M9" s="2397"/>
    </row>
    <row customHeight="1" ht="22.5">
      <c r="A10" s="2391"/>
      <c r="B10" s="953"/>
      <c r="C10" s="886"/>
      <c r="D10" s="884" t="s">
        <v>87</v>
      </c>
      <c r="E10" s="884" t="s">
        <v>88</v>
      </c>
      <c r="F10" s="884" t="s">
        <v>117</v>
      </c>
      <c r="G10" s="2398" t="s">
        <v>87</v>
      </c>
      <c r="H10" s="2399"/>
      <c r="I10" s="884" t="s">
        <v>88</v>
      </c>
      <c r="J10" s="884" t="s">
        <v>117</v>
      </c>
      <c r="K10" s="2398" t="s">
        <v>87</v>
      </c>
      <c r="L10" s="2399"/>
      <c r="M10" s="884" t="s">
        <v>88</v>
      </c>
      <c r="N10" s="1993"/>
    </row>
    <row s="31588" customFormat="1" customHeight="1" ht="11.25" hidden="1">
      <c r="A11" s="954"/>
      <c r="B11" s="954"/>
      <c r="C11" s="954"/>
      <c r="D11" s="955" t="s">
        <v>118</v>
      </c>
      <c r="E11" s="955" t="s">
        <v>102</v>
      </c>
      <c r="F11" s="955" t="s">
        <v>89</v>
      </c>
      <c r="G11" s="2380" t="s">
        <v>90</v>
      </c>
      <c r="H11" s="2381"/>
      <c r="I11" s="955" t="s">
        <v>119</v>
      </c>
      <c r="J11" s="955" t="s">
        <v>91</v>
      </c>
      <c r="K11" s="2382" t="s">
        <v>92</v>
      </c>
      <c r="L11" s="2383"/>
      <c r="M11" s="955" t="s">
        <v>120</v>
      </c>
      <c r="N11" s="1992"/>
      <c r="O11" s="1779"/>
      <c r="P11" s="1781"/>
      <c r="Q11" s="1781"/>
      <c r="R11" s="1781"/>
      <c r="S11" s="1781"/>
      <c r="T11" s="1781"/>
      <c r="U11" s="1631"/>
      <c r="V11" s="1631"/>
      <c r="W11" s="1631"/>
      <c r="X11" s="1631"/>
      <c r="Y11" s="956"/>
      <c r="Z11" s="956"/>
      <c r="AA11" s="956"/>
      <c r="AB11" s="956"/>
      <c r="AC11" s="956"/>
      <c r="AD11" s="956"/>
      <c r="AE11" s="956"/>
      <c r="AF11" s="956"/>
      <c r="AG11" s="956"/>
      <c r="AH11" s="956"/>
      <c r="AI11" s="956"/>
      <c r="AJ11" s="956"/>
      <c r="AK11" s="956"/>
      <c r="AL11" s="956"/>
    </row>
    <row customHeight="1" ht="0.75">
      <c r="A12" s="958"/>
      <c r="B12" s="959"/>
      <c r="C12" s="959"/>
      <c r="D12" s="960"/>
      <c r="E12" s="728"/>
      <c r="F12" s="961"/>
      <c r="G12" s="1421"/>
      <c r="H12" s="1421"/>
      <c r="I12" s="961"/>
      <c r="J12" s="961"/>
      <c r="K12" s="536"/>
      <c r="L12" s="728"/>
      <c r="M12" s="962"/>
      <c r="N12" s="1993"/>
      <c r="O12" s="1779" t="s">
        <v>121</v>
      </c>
      <c r="P12" s="1779" t="s">
        <v>122</v>
      </c>
      <c r="Q12" s="1779" t="s">
        <v>123</v>
      </c>
      <c r="R12" s="1779" t="s">
        <v>124</v>
      </c>
    </row>
    <row s="31608" customFormat="1" customHeight="1" ht="15">
      <c r="A13" s="654"/>
      <c r="B13" s="654"/>
      <c r="C13" s="887"/>
      <c r="D13" s="2403" t="s">
        <v>118</v>
      </c>
      <c r="E13" s="2404"/>
      <c r="F13" s="2407" t="s">
        <v>66</v>
      </c>
      <c r="G13" s="2408"/>
      <c r="H13" s="2409">
        <v>1</v>
      </c>
      <c r="I13" s="2400" t="str">
        <f>IF(U13="","",INDEX(TERRITORY_MR_LIST,MATCH(U13,TERRITORY_LIST_ID,0)))</f>
        <v/>
      </c>
      <c r="J13" s="2402" t="s">
        <v>56</v>
      </c>
      <c r="K13" s="963"/>
      <c r="L13" s="888" t="s">
        <v>118</v>
      </c>
      <c r="M13" s="964" t="s">
        <v>24</v>
      </c>
      <c r="N13" s="1173"/>
      <c r="O13" s="1782" t="s">
        <v>125</v>
      </c>
      <c r="P13" s="1779">
        <f>$E$13</f>
        <v>0</v>
      </c>
      <c r="Q13" s="1779" t="str">
        <f>IF($F$13="нет","без дифференциации",$I$13)</f>
        <v/>
      </c>
      <c r="R13" s="1779" t="str">
        <f>IF($J$13="нет","без дифференциации",M13)</f>
        <v>без дифференциации</v>
      </c>
      <c r="S13" s="1782"/>
      <c r="T13" s="1782"/>
      <c r="U13" s="1632"/>
      <c r="V13" s="1632"/>
      <c r="W13" s="1632"/>
      <c r="X13" s="1632"/>
      <c r="Y13" s="965" t="s">
        <v>126</v>
      </c>
      <c r="Z13" s="965">
        <v>1705000</v>
      </c>
      <c r="AA13" s="965"/>
      <c r="AB13" s="965"/>
      <c r="AC13" s="965"/>
      <c r="AD13" s="965"/>
      <c r="AE13" s="965"/>
      <c r="AF13" s="965"/>
      <c r="AG13" s="965"/>
      <c r="AH13" s="965"/>
      <c r="AI13" s="965"/>
      <c r="AJ13" s="965"/>
      <c r="AK13" s="965"/>
      <c r="AL13" s="965"/>
    </row>
    <row s="31608" customFormat="1" customHeight="1" ht="15">
      <c r="A14" s="654"/>
      <c r="B14" s="654"/>
      <c r="C14" s="538"/>
      <c r="D14" s="2403"/>
      <c r="E14" s="2405"/>
      <c r="F14" s="2402"/>
      <c r="G14" s="2408"/>
      <c r="H14" s="2409"/>
      <c r="I14" s="2401"/>
      <c r="J14" s="2402"/>
      <c r="K14" s="782"/>
      <c r="L14" s="539"/>
      <c r="M14" s="968" t="s">
        <v>127</v>
      </c>
      <c r="N14" s="1173"/>
      <c r="O14" s="1782"/>
      <c r="P14" s="1779"/>
      <c r="Q14" s="1779"/>
      <c r="R14" s="1779"/>
      <c r="S14" s="1782"/>
      <c r="T14" s="1782"/>
      <c r="U14" s="1632"/>
      <c r="V14" s="1632"/>
      <c r="W14" s="1632"/>
      <c r="X14" s="1632"/>
      <c r="Y14" s="965"/>
      <c r="Z14" s="965"/>
      <c r="AA14" s="965"/>
      <c r="AB14" s="965"/>
      <c r="AC14" s="965"/>
      <c r="AD14" s="965"/>
      <c r="AE14" s="965"/>
      <c r="AF14" s="965"/>
      <c r="AG14" s="965"/>
      <c r="AH14" s="965"/>
      <c r="AI14" s="965"/>
      <c r="AJ14" s="965"/>
      <c r="AK14" s="965"/>
      <c r="AL14" s="965"/>
    </row>
    <row s="31608" customFormat="1" customHeight="1" ht="15">
      <c r="A15" s="654"/>
      <c r="B15" s="654"/>
      <c r="C15" s="538"/>
      <c r="D15" s="2403"/>
      <c r="E15" s="2406"/>
      <c r="F15" s="2402"/>
      <c r="G15" s="1422"/>
      <c r="H15" s="1423"/>
      <c r="I15" s="941" t="s">
        <v>128</v>
      </c>
      <c r="J15" s="539"/>
      <c r="K15" s="539"/>
      <c r="L15" s="539"/>
      <c r="M15" s="969"/>
      <c r="N15" s="1173"/>
      <c r="O15" s="1782"/>
      <c r="P15" s="1779"/>
      <c r="Q15" s="1779"/>
      <c r="R15" s="1779"/>
      <c r="S15" s="1782"/>
      <c r="T15" s="1782"/>
      <c r="U15" s="1632"/>
      <c r="V15" s="1632"/>
      <c r="W15" s="1632"/>
      <c r="X15" s="1632"/>
      <c r="Y15" s="965"/>
      <c r="Z15" s="965"/>
      <c r="AA15" s="965"/>
      <c r="AB15" s="965"/>
      <c r="AC15" s="965"/>
      <c r="AD15" s="965"/>
      <c r="AE15" s="965"/>
      <c r="AF15" s="965"/>
      <c r="AG15" s="965"/>
      <c r="AH15" s="965"/>
      <c r="AI15" s="965"/>
      <c r="AJ15" s="965"/>
      <c r="AK15" s="965"/>
      <c r="AL15" s="965"/>
    </row>
    <row customHeight="1" ht="15">
      <c r="A16" s="970"/>
      <c r="B16" s="497"/>
      <c r="C16" s="1167"/>
      <c r="D16" s="782"/>
      <c r="E16" s="932" t="s">
        <v>129</v>
      </c>
      <c r="F16" s="539"/>
      <c r="G16" s="539"/>
      <c r="H16" s="539"/>
      <c r="I16" s="539"/>
      <c r="J16" s="539"/>
      <c r="K16" s="539" t="s">
        <v>24</v>
      </c>
      <c r="L16" s="539"/>
      <c r="M16" s="969"/>
      <c r="N16" s="1993"/>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DAABE-2A98-946B-85E9-61A84BCFFF15}"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37100" width="4.140625" hidden="1" customWidth="1"/>
    <col min="4" max="4" style="31548" width="4.140625" hidden="1" customWidth="1"/>
    <col min="5" max="5" style="36887" width="3.7109375" customWidth="1"/>
    <col min="6" max="6" style="31547" width="14.421875" customWidth="1"/>
    <col min="7" max="7" style="31547" width="3.7109375" customWidth="1"/>
    <col min="8" max="8" style="32302" width="7.7109375" customWidth="1"/>
    <col min="9" max="10" style="31547" width="16.7109375" customWidth="1"/>
    <col min="11" max="11" style="31547" width="25.7109375" customWidth="1"/>
    <col min="12" max="12" style="37130" width="8.00390625" customWidth="1"/>
    <col min="13" max="13" style="37130" width="15.57421875" customWidth="1"/>
    <col min="14" max="14" style="31547" width="3.28125" customWidth="1"/>
    <col min="15" max="15" style="31547" width="4.7109375" customWidth="1"/>
    <col min="16" max="16" style="31547" width="9.00390625" customWidth="1"/>
    <col min="17" max="17" style="31547" width="21.7109375" customWidth="1"/>
    <col min="18" max="18" style="31547" width="14.7109375" customWidth="1"/>
    <col min="19" max="20" style="31547" width="17.7109375" customWidth="1"/>
    <col min="21" max="21" style="31547" width="9.7109375" customWidth="1"/>
    <col min="22" max="22" style="31547" width="12.7109375" customWidth="1"/>
    <col min="23" max="23" style="31547" width="9.7109375" customWidth="1"/>
    <col min="24" max="24" style="31547" width="21.7109375" customWidth="1"/>
    <col min="25" max="25" style="31547" width="12.7109375" customWidth="1"/>
    <col min="26" max="26" style="31547" width="3.28125" customWidth="1"/>
    <col min="27" max="27" style="31547" width="7.140625" customWidth="1"/>
    <col min="28" max="28" style="31547" width="38.421875" customWidth="1"/>
    <col min="29" max="29" style="31547" width="15.7109375" customWidth="1"/>
    <col min="30" max="30" style="37130" width="37.57421875" hidden="1" customWidth="1"/>
    <col min="31" max="31" style="31547" width="15.7109375" hidden="1" customWidth="1"/>
    <col min="32" max="33" style="31547" width="16.7109375" customWidth="1"/>
    <col min="34" max="34" style="37152" width="16.7109375" customWidth="1"/>
    <col min="35" max="35" style="37153" width="16.7109375" hidden="1" customWidth="1"/>
    <col min="36" max="37" style="31547" width="16.7109375" hidden="1" customWidth="1"/>
    <col min="38" max="58" style="31547" width="9.140625"/>
  </cols>
  <sheetData>
    <row s="31548" customFormat="1" customHeight="1" ht="10.5" hidden="1">
      <c r="A1" s="1256"/>
      <c r="B1" s="1256"/>
      <c r="C1" s="1256"/>
      <c r="E1" s="898"/>
      <c r="H1" s="1523"/>
      <c r="L1" s="1491"/>
      <c r="M1" s="1491"/>
      <c r="AD1" s="1491"/>
      <c r="AH1" s="1510"/>
      <c r="AI1" s="1503"/>
    </row>
    <row customHeight="1" ht="10.5" hidden="1"/>
    <row s="37077" customFormat="1" customHeight="1" ht="10.5" hidden="1">
      <c r="A3" s="1256"/>
      <c r="B3" s="1256"/>
      <c r="C3" s="1256"/>
      <c r="D3" s="778"/>
      <c r="E3" s="723"/>
      <c r="H3" s="1519"/>
      <c r="L3" s="1489"/>
      <c r="M3" s="1489"/>
      <c r="AD3" s="1489"/>
      <c r="AH3" s="1508"/>
      <c r="AI3" s="1501"/>
    </row>
    <row customHeight="1" ht="3"/>
    <row customHeight="1" ht="25.5">
      <c r="F5" s="2560" t="str">
        <f>IP_NAME_FORM</f>
        <v>Форма 7. Информация об инвестиционных программах организации горячего водоснабжения и отчетах об их исполнении</v>
      </c>
      <c r="G5" s="2560"/>
      <c r="H5" s="2560"/>
      <c r="I5" s="2560"/>
      <c r="J5" s="2560"/>
      <c r="K5" s="2560"/>
      <c r="L5" s="1498"/>
      <c r="M5" s="1498"/>
      <c r="AG5" s="1267"/>
      <c r="AH5" s="1511"/>
    </row>
    <row customHeight="1" ht="10.5">
      <c r="F6" s="2474" t="str">
        <f>IF(org=0,"Не определено",org)</f>
        <v>АО "Мурманэнергосбыт"</v>
      </c>
      <c r="G6" s="2474"/>
      <c r="H6" s="2474"/>
      <c r="I6" s="2474"/>
      <c r="J6" s="2474"/>
      <c r="K6" s="2474"/>
      <c r="L6" s="1499"/>
      <c r="M6" s="1499"/>
    </row>
    <row customHeight="1" ht="11.25">
      <c r="E7" s="1269"/>
      <c r="F7" s="1280"/>
      <c r="G7" s="1280"/>
      <c r="H7" s="1549"/>
      <c r="I7" s="1280"/>
      <c r="J7" s="1280"/>
      <c r="K7" s="1282"/>
      <c r="L7" s="1496"/>
      <c r="M7" s="1496"/>
      <c r="N7" s="1280"/>
      <c r="O7" s="1280"/>
      <c r="P7" s="1280"/>
      <c r="Q7" s="1282"/>
      <c r="R7" s="1280"/>
      <c r="S7" s="1280"/>
      <c r="T7" s="1280"/>
      <c r="U7" s="1280"/>
      <c r="V7" s="1280"/>
      <c r="W7" s="1280"/>
      <c r="X7" s="1280"/>
      <c r="Y7" s="1280"/>
      <c r="Z7" s="1280"/>
      <c r="AA7" s="1280"/>
      <c r="AB7" s="1280"/>
      <c r="AC7" s="1281"/>
      <c r="AD7" s="1495"/>
      <c r="AE7" s="1281"/>
      <c r="AF7" s="1280"/>
      <c r="AG7" s="1280"/>
      <c r="AH7" s="1513"/>
      <c r="AI7" s="1506"/>
      <c r="AJ7" s="1280"/>
      <c r="AK7" s="1280"/>
      <c r="AL7" s="1271"/>
      <c r="AM7" s="1271"/>
      <c r="AN7" s="1271"/>
      <c r="AO7" s="1268"/>
      <c r="AP7" s="1268"/>
      <c r="AQ7" s="1268"/>
      <c r="AR7" s="1268"/>
      <c r="AS7" s="1268"/>
      <c r="AT7" s="1268"/>
      <c r="AU7" s="1268"/>
      <c r="AV7" s="1268"/>
      <c r="AW7" s="1268"/>
      <c r="AX7" s="1268"/>
      <c r="AY7" s="1268"/>
      <c r="AZ7" s="1268"/>
      <c r="BA7" s="1268"/>
      <c r="BB7" s="1268"/>
      <c r="BC7" s="1268"/>
      <c r="BD7" s="1268"/>
      <c r="BE7" s="1268"/>
      <c r="BF7" s="1268"/>
    </row>
    <row customHeight="1" ht="10.5">
      <c r="E8" s="1269"/>
      <c r="F8" s="2678" t="s">
        <v>341</v>
      </c>
      <c r="G8" s="2679"/>
      <c r="H8" s="2679"/>
      <c r="I8" s="2679"/>
      <c r="J8" s="2679"/>
      <c r="K8" s="2679"/>
      <c r="L8" s="2679"/>
      <c r="M8" s="2679"/>
      <c r="N8" s="2679"/>
      <c r="O8" s="2679"/>
      <c r="P8" s="2679"/>
      <c r="Q8" s="2679"/>
      <c r="R8" s="2679"/>
      <c r="S8" s="2679"/>
      <c r="T8" s="2679"/>
      <c r="U8" s="2679"/>
      <c r="V8" s="2679"/>
      <c r="W8" s="2679"/>
      <c r="X8" s="2679"/>
      <c r="Y8" s="2679"/>
      <c r="Z8" s="2679"/>
      <c r="AA8" s="2679"/>
      <c r="AB8" s="2679"/>
      <c r="AC8" s="2679"/>
      <c r="AD8" s="2679"/>
      <c r="AE8" s="2679"/>
      <c r="AF8" s="2679"/>
      <c r="AG8" s="2679"/>
      <c r="AH8" s="2679"/>
      <c r="AI8" s="2679"/>
      <c r="AJ8" s="2679"/>
      <c r="AK8" s="2680"/>
      <c r="AL8" s="1270"/>
      <c r="AM8" s="1268"/>
      <c r="AN8" s="1268"/>
      <c r="AO8" s="1268"/>
      <c r="AP8" s="1268"/>
      <c r="AQ8" s="1268"/>
      <c r="AR8" s="1268"/>
      <c r="AS8" s="1268"/>
      <c r="AT8" s="1268"/>
      <c r="AU8" s="1268"/>
      <c r="AV8" s="1268"/>
      <c r="AW8" s="1268"/>
      <c r="AX8" s="1268"/>
      <c r="AY8" s="1268"/>
      <c r="AZ8" s="1268"/>
      <c r="BA8" s="1268"/>
      <c r="BB8" s="1268"/>
      <c r="BC8" s="1268"/>
      <c r="BD8" s="1268"/>
      <c r="BE8" s="1268"/>
      <c r="BF8" s="1268"/>
    </row>
    <row customHeight="1" ht="23.25">
      <c r="A9" s="1266"/>
      <c r="B9" s="1266"/>
      <c r="C9" s="1266"/>
      <c r="E9" s="1269"/>
      <c r="F9" s="2671" t="s">
        <v>944</v>
      </c>
      <c r="G9" s="2672" t="s">
        <v>945</v>
      </c>
      <c r="H9" s="2673"/>
      <c r="I9" s="2392" t="s">
        <v>946</v>
      </c>
      <c r="J9" s="2392"/>
      <c r="K9" s="2392" t="s">
        <v>947</v>
      </c>
      <c r="L9" s="2392"/>
      <c r="M9" s="2392"/>
      <c r="N9" s="2392"/>
      <c r="O9" s="2392"/>
      <c r="P9" s="2392"/>
      <c r="Q9" s="2392"/>
      <c r="R9" s="2392"/>
      <c r="S9" s="2392"/>
      <c r="T9" s="2392"/>
      <c r="U9" s="2392"/>
      <c r="V9" s="2392"/>
      <c r="W9" s="2392"/>
      <c r="X9" s="2392"/>
      <c r="Y9" s="2392"/>
      <c r="Z9" s="2450" t="s">
        <v>948</v>
      </c>
      <c r="AA9" s="2451"/>
      <c r="AB9" s="2392" t="s">
        <v>949</v>
      </c>
      <c r="AC9" s="2392"/>
      <c r="AD9" s="2392"/>
      <c r="AE9" s="2392"/>
      <c r="AF9" s="2449" t="s">
        <v>950</v>
      </c>
      <c r="AG9" s="2392" t="s">
        <v>951</v>
      </c>
      <c r="AH9" s="2392"/>
      <c r="AI9" s="2449" t="s">
        <v>952</v>
      </c>
      <c r="AJ9" s="2392" t="s">
        <v>953</v>
      </c>
      <c r="AK9" s="2392"/>
      <c r="AL9" s="1505"/>
      <c r="AM9" s="1268"/>
      <c r="AN9" s="1268"/>
      <c r="AO9" s="1268"/>
      <c r="AP9" s="1268"/>
      <c r="AQ9" s="1268"/>
      <c r="AR9" s="1268"/>
      <c r="AS9" s="1268"/>
      <c r="AT9" s="1268"/>
      <c r="AU9" s="1268"/>
      <c r="AV9" s="1268"/>
      <c r="AW9" s="1268"/>
      <c r="AX9" s="1268"/>
      <c r="AY9" s="1268"/>
      <c r="AZ9" s="1268"/>
      <c r="BA9" s="1268"/>
      <c r="BB9" s="1268"/>
      <c r="BC9" s="1268"/>
      <c r="BD9" s="1268"/>
      <c r="BE9" s="1268"/>
      <c r="BF9" s="1268"/>
    </row>
    <row customHeight="1" ht="23.25">
      <c r="A10" s="1266"/>
      <c r="B10" s="1266"/>
      <c r="C10" s="1266"/>
      <c r="E10" s="1273"/>
      <c r="F10" s="2671"/>
      <c r="G10" s="2674"/>
      <c r="H10" s="2675"/>
      <c r="I10" s="2392"/>
      <c r="J10" s="2392"/>
      <c r="K10" s="2392" t="s">
        <v>954</v>
      </c>
      <c r="L10" s="2376" t="s">
        <v>955</v>
      </c>
      <c r="M10" s="2378"/>
      <c r="N10" s="2392" t="s">
        <v>956</v>
      </c>
      <c r="O10" s="2392"/>
      <c r="P10" s="2392"/>
      <c r="Q10" s="2392"/>
      <c r="R10" s="2392"/>
      <c r="S10" s="2392"/>
      <c r="T10" s="2392"/>
      <c r="U10" s="2392"/>
      <c r="V10" s="2392"/>
      <c r="W10" s="2392"/>
      <c r="X10" s="2392"/>
      <c r="Y10" s="2392"/>
      <c r="Z10" s="2452"/>
      <c r="AA10" s="2453"/>
      <c r="AB10" s="2392"/>
      <c r="AC10" s="2392"/>
      <c r="AD10" s="2392"/>
      <c r="AE10" s="2392"/>
      <c r="AF10" s="2457"/>
      <c r="AG10" s="2392"/>
      <c r="AH10" s="2392"/>
      <c r="AI10" s="2457"/>
      <c r="AJ10" s="2392"/>
      <c r="AK10" s="2392"/>
      <c r="AL10" s="1505"/>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row>
    <row s="37130" customFormat="1" customHeight="1" ht="23.25">
      <c r="A11" s="1492"/>
      <c r="B11" s="1492"/>
      <c r="C11" s="1492"/>
      <c r="D11" s="1491"/>
      <c r="E11" s="1493"/>
      <c r="F11" s="2671"/>
      <c r="G11" s="2674"/>
      <c r="H11" s="2675"/>
      <c r="I11" s="2392"/>
      <c r="J11" s="2392"/>
      <c r="K11" s="2392"/>
      <c r="L11" s="2449" t="s">
        <v>957</v>
      </c>
      <c r="M11" s="2449" t="s">
        <v>958</v>
      </c>
      <c r="N11" s="2392" t="s">
        <v>959</v>
      </c>
      <c r="O11" s="2392"/>
      <c r="P11" s="2669" t="s">
        <v>940</v>
      </c>
      <c r="Q11" s="2669" t="s">
        <v>960</v>
      </c>
      <c r="R11" s="2669" t="s">
        <v>961</v>
      </c>
      <c r="S11" s="2669" t="s">
        <v>962</v>
      </c>
      <c r="T11" s="2669"/>
      <c r="U11" s="2669"/>
      <c r="V11" s="2669"/>
      <c r="W11" s="2669"/>
      <c r="X11" s="2669"/>
      <c r="Y11" s="2669"/>
      <c r="Z11" s="2452"/>
      <c r="AA11" s="2453"/>
      <c r="AB11" s="2392" t="s">
        <v>963</v>
      </c>
      <c r="AC11" s="2392"/>
      <c r="AD11" s="2376" t="s">
        <v>964</v>
      </c>
      <c r="AE11" s="2378"/>
      <c r="AF11" s="2457"/>
      <c r="AG11" s="2392"/>
      <c r="AH11" s="2392"/>
      <c r="AI11" s="2457"/>
      <c r="AJ11" s="2392"/>
      <c r="AK11" s="2392"/>
      <c r="AL11" s="1505"/>
      <c r="AM11" s="1490"/>
      <c r="AN11" s="1490"/>
      <c r="AO11" s="1490"/>
      <c r="AP11" s="1490"/>
      <c r="AQ11" s="1490"/>
      <c r="AR11" s="1490"/>
      <c r="AS11" s="1490"/>
      <c r="AT11" s="1490"/>
      <c r="AU11" s="1490"/>
      <c r="AV11" s="1490"/>
      <c r="AW11" s="1490"/>
      <c r="AX11" s="1490"/>
      <c r="AY11" s="1490"/>
      <c r="AZ11" s="1490"/>
      <c r="BA11" s="1490"/>
      <c r="BB11" s="1490"/>
      <c r="BC11" s="1490"/>
      <c r="BD11" s="1490"/>
      <c r="BE11" s="1490"/>
      <c r="BF11" s="1490"/>
    </row>
    <row customHeight="1" ht="33.75">
      <c r="A12" s="1266"/>
      <c r="B12" s="1266"/>
      <c r="C12" s="1266"/>
      <c r="E12" s="1269"/>
      <c r="F12" s="2671"/>
      <c r="G12" s="2676"/>
      <c r="H12" s="2677"/>
      <c r="I12" s="1516" t="s">
        <v>88</v>
      </c>
      <c r="J12" s="1516" t="s">
        <v>965</v>
      </c>
      <c r="K12" s="2392"/>
      <c r="L12" s="2510"/>
      <c r="M12" s="2510"/>
      <c r="N12" s="2392"/>
      <c r="O12" s="2392"/>
      <c r="P12" s="2669"/>
      <c r="Q12" s="2669"/>
      <c r="R12" s="2669"/>
      <c r="S12" s="1497" t="s">
        <v>85</v>
      </c>
      <c r="T12" s="1497" t="s">
        <v>86</v>
      </c>
      <c r="U12" s="1497" t="s">
        <v>84</v>
      </c>
      <c r="V12" s="1497" t="s">
        <v>966</v>
      </c>
      <c r="W12" s="1497" t="s">
        <v>84</v>
      </c>
      <c r="X12" s="1497" t="s">
        <v>967</v>
      </c>
      <c r="Y12" s="1497" t="s">
        <v>968</v>
      </c>
      <c r="Z12" s="2458"/>
      <c r="AA12" s="2459"/>
      <c r="AB12" s="1504" t="s">
        <v>969</v>
      </c>
      <c r="AC12" s="1504" t="s">
        <v>970</v>
      </c>
      <c r="AD12" s="1504" t="s">
        <v>969</v>
      </c>
      <c r="AE12" s="1504" t="s">
        <v>970</v>
      </c>
      <c r="AF12" s="2510"/>
      <c r="AG12" s="1517" t="s">
        <v>971</v>
      </c>
      <c r="AH12" s="1517" t="s">
        <v>972</v>
      </c>
      <c r="AI12" s="2510"/>
      <c r="AJ12" s="1517" t="s">
        <v>971</v>
      </c>
      <c r="AK12" s="1517" t="s">
        <v>972</v>
      </c>
      <c r="AL12" s="1505"/>
      <c r="AM12" s="1268"/>
      <c r="AN12" s="1268"/>
      <c r="AO12" s="1268"/>
      <c r="AP12" s="1268"/>
      <c r="AQ12" s="1268"/>
      <c r="AR12" s="1268"/>
      <c r="AS12" s="1268"/>
      <c r="AT12" s="1268"/>
      <c r="AU12" s="1268"/>
      <c r="AV12" s="1268"/>
      <c r="AW12" s="1268"/>
      <c r="AX12" s="1268"/>
      <c r="AY12" s="1268"/>
      <c r="AZ12" s="1268"/>
      <c r="BA12" s="1268"/>
      <c r="BB12" s="1268"/>
      <c r="BC12" s="1268"/>
      <c r="BD12" s="1268"/>
      <c r="BE12" s="1268"/>
      <c r="BF12" s="1268"/>
    </row>
    <row customHeight="1" ht="0.75">
      <c r="E13" s="1269"/>
      <c r="F13" s="1487">
        <v>0</v>
      </c>
      <c r="G13" s="1487"/>
      <c r="H13" s="1487"/>
      <c r="I13" s="1487"/>
      <c r="J13" s="1487"/>
      <c r="K13" s="1494"/>
      <c r="L13" s="1494"/>
      <c r="M13" s="1494"/>
      <c r="N13" s="1494"/>
      <c r="O13" s="1494"/>
      <c r="P13" s="1494"/>
      <c r="Q13" s="1494"/>
      <c r="R13" s="1494"/>
      <c r="S13" s="1494"/>
      <c r="T13" s="1494"/>
      <c r="U13" s="1494"/>
      <c r="V13" s="1494"/>
      <c r="W13" s="1494"/>
      <c r="X13" s="1494"/>
      <c r="Y13" s="1494"/>
      <c r="Z13" s="1494"/>
      <c r="AA13" s="1494"/>
      <c r="AB13" s="1494"/>
      <c r="AC13" s="1494"/>
      <c r="AD13" s="1494"/>
      <c r="AE13" s="1494"/>
      <c r="AF13" s="1494"/>
      <c r="AG13" s="1494"/>
      <c r="AH13" s="1512"/>
      <c r="AI13" s="1505"/>
      <c r="AJ13" s="1494"/>
      <c r="AK13" s="1494"/>
      <c r="AL13" s="1270"/>
      <c r="AM13" s="1268"/>
      <c r="AN13" s="1268"/>
      <c r="AO13" s="1268"/>
      <c r="AP13" s="1268"/>
      <c r="AQ13" s="1268"/>
      <c r="AR13" s="1268"/>
      <c r="AS13" s="1268"/>
      <c r="AT13" s="1268"/>
      <c r="AU13" s="1268"/>
      <c r="AV13" s="1268"/>
      <c r="AW13" s="1268"/>
      <c r="AX13" s="1268"/>
      <c r="AY13" s="1268"/>
      <c r="AZ13" s="1268"/>
      <c r="BA13" s="1268"/>
      <c r="BB13" s="1268"/>
      <c r="BC13" s="1268"/>
      <c r="BD13" s="1268"/>
      <c r="BE13" s="1268"/>
      <c r="BF13" s="1268"/>
    </row>
    <row customHeight="1" ht="10.5">
      <c r="E14" s="1268"/>
      <c r="F14" s="1279"/>
      <c r="G14" s="1279"/>
      <c r="H14" s="1536"/>
      <c r="I14" s="1279"/>
      <c r="J14" s="1279"/>
      <c r="K14" s="1279"/>
      <c r="L14" s="1494"/>
      <c r="M14" s="1494"/>
      <c r="N14" s="1279"/>
      <c r="O14" s="1279"/>
      <c r="P14" s="1279"/>
      <c r="Q14" s="1279"/>
      <c r="R14" s="1279"/>
      <c r="S14" s="1279"/>
      <c r="T14" s="1279"/>
      <c r="U14" s="1279"/>
      <c r="V14" s="1279"/>
      <c r="W14" s="1279"/>
      <c r="X14" s="1279"/>
      <c r="Y14" s="1279"/>
      <c r="Z14" s="1279"/>
      <c r="AA14" s="1279"/>
      <c r="AB14" s="1279"/>
      <c r="AC14" s="1279"/>
      <c r="AD14" s="1494"/>
      <c r="AE14" s="1279"/>
      <c r="AF14" s="1279"/>
      <c r="AG14" s="1279"/>
      <c r="AH14" s="1512"/>
      <c r="AI14" s="1505"/>
      <c r="AJ14" s="1279"/>
      <c r="AK14" s="1279"/>
      <c r="AL14" s="1268"/>
      <c r="AM14" s="1268"/>
      <c r="AN14" s="1268"/>
      <c r="AO14" s="1268"/>
      <c r="AP14" s="1268"/>
      <c r="AQ14" s="1268"/>
      <c r="AR14" s="1268"/>
      <c r="AS14" s="1268"/>
      <c r="AT14" s="1268"/>
      <c r="AU14" s="1268"/>
      <c r="AV14" s="1268"/>
      <c r="AW14" s="1268"/>
      <c r="AX14" s="1268"/>
      <c r="AY14" s="1268"/>
      <c r="AZ14" s="1268"/>
      <c r="BA14" s="1268"/>
      <c r="BB14" s="1268"/>
      <c r="BC14" s="1268"/>
      <c r="BD14" s="1268"/>
      <c r="BE14" s="1268"/>
      <c r="BF14" s="1268"/>
    </row>
    <row customHeight="1" ht="12.75">
      <c r="E15" s="1268"/>
      <c r="F15" s="1275" t="s">
        <v>973</v>
      </c>
      <c r="G15" s="1275"/>
      <c r="H15" s="1535"/>
      <c r="I15" s="1275"/>
      <c r="J15" s="1275"/>
      <c r="K15" s="1272"/>
      <c r="L15" s="1490"/>
      <c r="M15" s="1490"/>
      <c r="N15" s="1274"/>
      <c r="O15" s="1274"/>
      <c r="P15" s="1274"/>
      <c r="Q15" s="1274"/>
      <c r="R15" s="1274"/>
      <c r="S15" s="1274"/>
      <c r="T15" s="1274"/>
      <c r="U15" s="1274"/>
      <c r="V15" s="1274"/>
      <c r="W15" s="1274"/>
      <c r="X15" s="1274"/>
      <c r="Y15" s="1274"/>
      <c r="Z15" s="1272"/>
      <c r="AA15" s="1272"/>
      <c r="AB15" s="1272"/>
      <c r="AC15" s="1272"/>
      <c r="AD15" s="1490"/>
      <c r="AE15" s="1272"/>
      <c r="AF15" s="1272"/>
      <c r="AG15" s="1272"/>
      <c r="AH15" s="1509"/>
      <c r="AI15" s="1502"/>
      <c r="AJ15" s="1272"/>
      <c r="AK15" s="1272"/>
      <c r="AL15" s="1268"/>
      <c r="AM15" s="1268"/>
      <c r="AN15" s="1268"/>
      <c r="AO15" s="1268"/>
      <c r="AP15" s="1268"/>
      <c r="AQ15" s="1268"/>
      <c r="AR15" s="1268"/>
      <c r="AS15" s="1268"/>
      <c r="AT15" s="1268"/>
      <c r="AU15" s="1268"/>
      <c r="AV15" s="1268"/>
      <c r="AW15" s="1268"/>
      <c r="AX15" s="1268"/>
      <c r="AY15" s="1268"/>
      <c r="AZ15" s="1268"/>
      <c r="BA15" s="1268"/>
      <c r="BB15" s="1268"/>
      <c r="BC15" s="1268"/>
      <c r="BD15" s="1268"/>
      <c r="BE15" s="1268"/>
      <c r="BF15" s="1268"/>
    </row>
    <row r="17" customHeight="1" ht="10.5">
      <c r="E17" s="1268"/>
      <c r="F17" s="2670"/>
      <c r="G17" s="2670"/>
      <c r="H17" s="2670"/>
      <c r="I17" s="2670"/>
      <c r="J17" s="2670"/>
      <c r="K17" s="1272"/>
      <c r="L17" s="1490"/>
      <c r="M17" s="1490"/>
      <c r="N17" s="1274"/>
      <c r="O17" s="1274"/>
      <c r="P17" s="1274"/>
      <c r="Q17" s="1274"/>
      <c r="R17" s="1274"/>
      <c r="S17" s="1274"/>
      <c r="T17" s="1274"/>
      <c r="U17" s="1274"/>
      <c r="V17" s="1274"/>
      <c r="W17" s="1274"/>
      <c r="X17" s="1274"/>
      <c r="Y17" s="1274"/>
      <c r="Z17" s="1272"/>
      <c r="AA17" s="1272"/>
      <c r="AB17" s="1272"/>
      <c r="AC17" s="1272"/>
      <c r="AD17" s="1490"/>
      <c r="AE17" s="1272"/>
      <c r="AF17" s="1272"/>
      <c r="AG17" s="1272"/>
      <c r="AH17" s="1509"/>
      <c r="AI17" s="1502"/>
      <c r="AJ17" s="1272"/>
      <c r="AK17" s="1272"/>
      <c r="AL17" s="1268"/>
      <c r="AM17" s="1268"/>
      <c r="AN17" s="1268"/>
      <c r="AO17" s="1268"/>
      <c r="AP17" s="1268"/>
      <c r="AQ17" s="1268"/>
      <c r="AR17" s="1268"/>
      <c r="AS17" s="1268"/>
      <c r="AT17" s="1268"/>
      <c r="AU17" s="1268"/>
      <c r="AV17" s="1268"/>
      <c r="AW17" s="1268"/>
      <c r="AX17" s="1268"/>
      <c r="AY17" s="1268"/>
      <c r="AZ17" s="1268"/>
      <c r="BA17" s="1268"/>
      <c r="BB17" s="1268"/>
      <c r="BC17" s="1268"/>
      <c r="BD17" s="1268"/>
      <c r="BE17" s="1268"/>
      <c r="BF17" s="1268"/>
    </row>
    <row customHeight="1" ht="10.5">
      <c r="E18" s="1268"/>
      <c r="F18" s="2670"/>
      <c r="G18" s="2670"/>
      <c r="H18" s="2670"/>
      <c r="I18" s="2670"/>
      <c r="J18" s="2670"/>
      <c r="K18" s="1272"/>
      <c r="L18" s="1490"/>
      <c r="M18" s="1490"/>
      <c r="N18" s="1274"/>
      <c r="O18" s="1274"/>
      <c r="P18" s="1274"/>
      <c r="Q18" s="1274"/>
      <c r="R18" s="1274"/>
      <c r="S18" s="1274"/>
      <c r="T18" s="1274"/>
      <c r="U18" s="1274"/>
      <c r="V18" s="1274"/>
      <c r="W18" s="1274"/>
      <c r="X18" s="1274"/>
      <c r="Y18" s="1274"/>
      <c r="Z18" s="1272"/>
      <c r="AA18" s="1272"/>
      <c r="AB18" s="1272"/>
      <c r="AC18" s="1272"/>
      <c r="AD18" s="1490"/>
      <c r="AE18" s="1272"/>
      <c r="AF18" s="1272"/>
      <c r="AG18" s="1272"/>
      <c r="AH18" s="1509"/>
      <c r="AI18" s="1502"/>
      <c r="AJ18" s="1272"/>
      <c r="AK18" s="1272"/>
      <c r="AL18" s="1268"/>
      <c r="AM18" s="1268"/>
      <c r="AN18" s="1268"/>
      <c r="AO18" s="1268"/>
      <c r="AP18" s="1268"/>
      <c r="AQ18" s="1268"/>
      <c r="AR18" s="1268"/>
      <c r="AS18" s="1268"/>
      <c r="AT18" s="1268"/>
      <c r="AU18" s="1268"/>
      <c r="AV18" s="1268"/>
      <c r="AW18" s="1268"/>
      <c r="AX18" s="1268"/>
      <c r="AY18" s="1268"/>
      <c r="AZ18" s="1268"/>
      <c r="BA18" s="1268"/>
      <c r="BB18" s="1268"/>
      <c r="BC18" s="1268"/>
      <c r="BD18" s="1268"/>
      <c r="BE18" s="1268"/>
      <c r="BF18" s="1268"/>
    </row>
    <row customHeight="1" ht="10.5">
      <c r="E19" s="1268"/>
      <c r="F19" s="2670"/>
      <c r="G19" s="2670"/>
      <c r="H19" s="2670"/>
      <c r="I19" s="2670"/>
      <c r="J19" s="2670"/>
      <c r="K19" s="1272"/>
      <c r="L19" s="1490"/>
      <c r="M19" s="1490"/>
      <c r="N19" s="1274"/>
      <c r="O19" s="1274"/>
      <c r="P19" s="1274"/>
      <c r="Q19" s="1274"/>
      <c r="R19" s="1274"/>
      <c r="S19" s="1274"/>
      <c r="T19" s="1274"/>
      <c r="U19" s="1274"/>
      <c r="V19" s="1274"/>
      <c r="W19" s="1274"/>
      <c r="X19" s="1274"/>
      <c r="Y19" s="1274"/>
      <c r="Z19" s="1272"/>
      <c r="AA19" s="1272"/>
      <c r="AB19" s="1272"/>
      <c r="AC19" s="1272"/>
      <c r="AD19" s="1490"/>
      <c r="AE19" s="1272"/>
      <c r="AF19" s="1272"/>
      <c r="AG19" s="1272"/>
      <c r="AH19" s="1509"/>
      <c r="AI19" s="1502"/>
      <c r="AJ19" s="1272"/>
      <c r="AK19" s="1272"/>
      <c r="AL19" s="1268"/>
      <c r="AM19" s="1268"/>
      <c r="AN19" s="1268"/>
      <c r="AO19" s="1268"/>
      <c r="AP19" s="1268"/>
      <c r="AQ19" s="1268"/>
      <c r="AR19" s="1268"/>
      <c r="AS19" s="1268"/>
      <c r="AT19" s="1268"/>
      <c r="AU19" s="1268"/>
      <c r="AV19" s="1268"/>
      <c r="AW19" s="1268"/>
      <c r="AX19" s="1268"/>
      <c r="AY19" s="1268"/>
      <c r="AZ19" s="1268"/>
      <c r="BA19" s="1268"/>
      <c r="BB19" s="1268"/>
      <c r="BC19" s="1268"/>
      <c r="BD19" s="1268"/>
      <c r="BE19" s="1268"/>
      <c r="BF19" s="1268"/>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46FB4-29D9-C196-7215-9355711667A8}"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37183" width="4.140625" hidden="1" customWidth="1"/>
    <col min="4" max="4" style="32217" width="4.140625" hidden="1" customWidth="1"/>
    <col min="5" max="5" style="36887" width="3.7109375" customWidth="1"/>
    <col min="6" max="6" style="32302" width="6.28125" customWidth="1"/>
    <col min="7" max="7" style="32302" width="60.140625" customWidth="1"/>
    <col min="8" max="9" style="32302" width="21.7109375" hidden="1" customWidth="1"/>
    <col min="10" max="10" style="32302" width="0.140625" customWidth="1"/>
    <col min="11" max="11" style="32302" width="1.7109375" customWidth="1"/>
    <col min="12" max="22" style="32302" width="9.140625"/>
  </cols>
  <sheetData>
    <row s="32217" customFormat="1" customHeight="1" ht="10.5" hidden="1">
      <c r="A1" s="1529"/>
      <c r="B1" s="1529"/>
      <c r="C1" s="1529"/>
      <c r="E1" s="898"/>
    </row>
    <row customHeight="1" ht="10.5" hidden="1"/>
    <row s="37154" customFormat="1" customHeight="1" ht="10.5" hidden="1">
      <c r="A3" s="1529"/>
      <c r="B3" s="1529"/>
      <c r="C3" s="1529"/>
      <c r="D3" s="1523"/>
      <c r="E3" s="723"/>
    </row>
    <row customHeight="1" ht="3"/>
    <row customHeight="1" ht="25.5">
      <c r="F5" s="2560"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560"/>
      <c r="H5" s="2560"/>
      <c r="I5" s="2560"/>
      <c r="J5" s="2560"/>
    </row>
    <row customHeight="1" ht="10.5">
      <c r="F6" s="2474" t="str">
        <f>IF(org=0,"Не определено",org)</f>
        <v>АО "Мурманэнергосбыт"</v>
      </c>
      <c r="G6" s="2474"/>
      <c r="H6" s="2474"/>
      <c r="I6" s="2474"/>
      <c r="J6" s="2474"/>
    </row>
    <row customHeight="1" ht="11.25">
      <c r="E7" s="1533"/>
      <c r="F7" s="1592"/>
      <c r="G7" s="1592"/>
      <c r="H7" s="1592"/>
      <c r="I7" s="1592"/>
      <c r="J7" s="1592"/>
      <c r="K7" s="1520"/>
      <c r="L7" s="1520"/>
      <c r="M7" s="1520"/>
      <c r="N7" s="1520"/>
      <c r="O7" s="1520"/>
      <c r="P7" s="1520"/>
      <c r="Q7" s="1520"/>
      <c r="R7" s="1520"/>
      <c r="S7" s="1520"/>
      <c r="T7" s="1520"/>
      <c r="U7" s="1520"/>
      <c r="V7" s="1520"/>
    </row>
    <row s="32289" customFormat="1" customHeight="1" ht="5.25">
      <c r="A8" s="1530"/>
      <c r="B8" s="1530"/>
      <c r="C8" s="1530"/>
      <c r="E8" s="1593"/>
      <c r="F8" s="1594"/>
      <c r="G8" s="1594"/>
      <c r="H8" s="1594"/>
      <c r="I8" s="1594"/>
      <c r="J8" s="1594"/>
      <c r="K8" s="1593"/>
      <c r="L8" s="1593"/>
      <c r="M8" s="1593"/>
      <c r="N8" s="1593"/>
      <c r="O8" s="1593"/>
      <c r="P8" s="1593"/>
      <c r="Q8" s="1593"/>
      <c r="R8" s="1593"/>
      <c r="S8" s="1593"/>
      <c r="T8" s="1593"/>
      <c r="U8" s="1593"/>
      <c r="V8" s="1593"/>
    </row>
    <row customHeight="1" ht="10.5">
      <c r="E9" s="1533"/>
      <c r="F9" s="2681" t="s">
        <v>341</v>
      </c>
      <c r="G9" s="2682"/>
      <c r="H9" s="2682"/>
      <c r="I9" s="2682"/>
      <c r="J9" s="2682"/>
      <c r="K9" s="1605"/>
      <c r="L9" s="1520"/>
      <c r="M9" s="1520"/>
      <c r="N9" s="1520"/>
      <c r="O9" s="1520"/>
      <c r="P9" s="1520"/>
      <c r="Q9" s="1520"/>
      <c r="R9" s="1520"/>
      <c r="S9" s="1520"/>
      <c r="T9" s="1520"/>
      <c r="U9" s="1520"/>
      <c r="V9" s="1520"/>
    </row>
    <row customHeight="1" ht="24">
      <c r="E10" s="1520"/>
      <c r="F10" s="2685" t="s">
        <v>87</v>
      </c>
      <c r="G10" s="2690" t="s">
        <v>974</v>
      </c>
      <c r="H10" s="2688" t="s">
        <v>975</v>
      </c>
      <c r="I10" s="2688"/>
      <c r="J10" s="2688"/>
      <c r="K10" s="1598"/>
      <c r="L10" s="1520"/>
      <c r="M10" s="1520"/>
      <c r="N10" s="1520"/>
      <c r="O10" s="1520"/>
      <c r="P10" s="1520"/>
      <c r="Q10" s="1520"/>
      <c r="R10" s="1520"/>
      <c r="S10" s="1520"/>
      <c r="T10" s="1520"/>
      <c r="U10" s="1520"/>
      <c r="V10" s="1520"/>
    </row>
    <row customHeight="1" ht="24">
      <c r="E11" s="1520"/>
      <c r="F11" s="2686"/>
      <c r="G11" s="2690"/>
      <c r="H11" s="2689">
        <f>INDEX(IP_MAIN_LIST_NAME_IP,MATCH(H8,IP_MAIN_LIST_IP_ID,0))&amp;" ("&amp;INDEX(IP_MAIN_START_DATE,MATCH(H8,IP_MAIN_LIST_IP_ID,0))&amp;"-"&amp;INDEX(IP_MAIN_END_DATE,MATCH(H8,IP_MAIN_LIST_IP_ID,0))&amp;")"</f>
      </c>
      <c r="I11" s="2689"/>
      <c r="J11" s="2689"/>
      <c r="K11" s="1598"/>
      <c r="L11" s="1520"/>
      <c r="M11" s="1520"/>
      <c r="N11" s="1520"/>
      <c r="O11" s="1520"/>
      <c r="P11" s="1520"/>
      <c r="Q11" s="1520"/>
      <c r="R11" s="1520"/>
      <c r="S11" s="1520"/>
      <c r="T11" s="1520"/>
      <c r="U11" s="1520"/>
      <c r="V11" s="1520"/>
    </row>
    <row customHeight="1" ht="10.5">
      <c r="F12" s="2687"/>
      <c r="G12" s="2690"/>
      <c r="H12" s="1591" t="s">
        <v>976</v>
      </c>
      <c r="I12" s="1597"/>
      <c r="J12" s="1591"/>
      <c r="K12" s="1599"/>
    </row>
    <row customHeight="1" ht="10.5" hidden="1">
      <c r="F13" s="1591">
        <v>1</v>
      </c>
      <c r="G13" s="1591">
        <v>2</v>
      </c>
      <c r="H13" s="1591">
        <v>3</v>
      </c>
      <c r="I13" s="1591">
        <v>4</v>
      </c>
      <c r="J13" s="1591">
        <v>5</v>
      </c>
      <c r="K13" s="1599"/>
    </row>
    <row customHeight="1" ht="11.25">
      <c r="F14" s="1590" t="s">
        <v>977</v>
      </c>
      <c r="G14" s="2683" t="s">
        <v>978</v>
      </c>
      <c r="H14" s="2683"/>
      <c r="I14" s="2683"/>
      <c r="J14" s="2683"/>
      <c r="K14" s="1599"/>
    </row>
    <row customHeight="1" ht="11.25">
      <c r="F15" s="1595">
        <v>1</v>
      </c>
      <c r="G15" s="1051" t="s">
        <v>979</v>
      </c>
      <c r="H15" s="1601">
        <f>SUM(I15:J15)</f>
        <v>0</v>
      </c>
      <c r="I15" s="1601">
        <f>SUM(I16:I27)</f>
        <v>0</v>
      </c>
      <c r="J15" s="1590"/>
      <c r="K15" s="1599"/>
    </row>
    <row customHeight="1" ht="22.5">
      <c r="F16" s="1595" t="s">
        <v>980</v>
      </c>
      <c r="G16" s="1602" t="s">
        <v>981</v>
      </c>
      <c r="H16" s="1601">
        <f>SUM(I16:J16)</f>
        <v>0</v>
      </c>
      <c r="I16" s="1600"/>
      <c r="J16" s="1590"/>
      <c r="K16" s="1599"/>
    </row>
    <row customHeight="1" ht="22.5">
      <c r="F17" s="1595" t="s">
        <v>982</v>
      </c>
      <c r="G17" s="1602" t="s">
        <v>983</v>
      </c>
      <c r="H17" s="1601">
        <f>SUM(I17:J17)</f>
        <v>0</v>
      </c>
      <c r="I17" s="1600"/>
      <c r="J17" s="1590"/>
      <c r="K17" s="1599"/>
    </row>
    <row customHeight="1" ht="33.75">
      <c r="F18" s="1595" t="s">
        <v>984</v>
      </c>
      <c r="G18" s="1602" t="s">
        <v>985</v>
      </c>
      <c r="H18" s="1601">
        <f>SUM(I18:J18)</f>
        <v>0</v>
      </c>
      <c r="I18" s="1600"/>
      <c r="J18" s="1590"/>
      <c r="K18" s="1599"/>
    </row>
    <row customHeight="1" ht="33.75">
      <c r="F19" s="1595" t="s">
        <v>986</v>
      </c>
      <c r="G19" s="1602" t="s">
        <v>987</v>
      </c>
      <c r="H19" s="1601">
        <f>SUM(I19:J19)</f>
        <v>0</v>
      </c>
      <c r="I19" s="1600"/>
      <c r="J19" s="1590"/>
      <c r="K19" s="1599"/>
    </row>
    <row customHeight="1" ht="45">
      <c r="F20" s="1595" t="s">
        <v>988</v>
      </c>
      <c r="G20" s="1602" t="s">
        <v>989</v>
      </c>
      <c r="H20" s="1601">
        <f>SUM(I20:J20)</f>
        <v>0</v>
      </c>
      <c r="I20" s="1600"/>
      <c r="J20" s="1590"/>
      <c r="K20" s="1599"/>
    </row>
    <row customHeight="1" ht="33.75">
      <c r="F21" s="1595" t="s">
        <v>990</v>
      </c>
      <c r="G21" s="1602" t="s">
        <v>991</v>
      </c>
      <c r="H21" s="1601">
        <f>SUM(I21:J21)</f>
        <v>0</v>
      </c>
      <c r="I21" s="1600"/>
      <c r="J21" s="1590"/>
      <c r="K21" s="1599"/>
    </row>
    <row customHeight="1" ht="33.75">
      <c r="F22" s="1595" t="s">
        <v>992</v>
      </c>
      <c r="G22" s="1602" t="s">
        <v>993</v>
      </c>
      <c r="H22" s="1601">
        <f>SUM(I22:J22)</f>
        <v>0</v>
      </c>
      <c r="I22" s="1600"/>
      <c r="J22" s="1590"/>
      <c r="K22" s="1599"/>
    </row>
    <row customHeight="1" ht="22.5">
      <c r="F23" s="1595" t="s">
        <v>994</v>
      </c>
      <c r="G23" s="1602" t="s">
        <v>995</v>
      </c>
      <c r="H23" s="1601">
        <f>SUM(I23:J23)</f>
        <v>0</v>
      </c>
      <c r="I23" s="1600"/>
      <c r="J23" s="1590"/>
      <c r="K23" s="1599"/>
    </row>
    <row customHeight="1" ht="22.5">
      <c r="F24" s="1595" t="s">
        <v>996</v>
      </c>
      <c r="G24" s="1602" t="s">
        <v>997</v>
      </c>
      <c r="H24" s="1601">
        <f>SUM(I24:J24)</f>
        <v>0</v>
      </c>
      <c r="I24" s="1600"/>
      <c r="J24" s="1590"/>
      <c r="K24" s="1599"/>
    </row>
    <row customHeight="1" ht="33.75">
      <c r="F25" s="1595" t="s">
        <v>998</v>
      </c>
      <c r="G25" s="1602" t="s">
        <v>999</v>
      </c>
      <c r="H25" s="1601">
        <f>SUM(I25:J25)</f>
        <v>0</v>
      </c>
      <c r="I25" s="1600"/>
      <c r="J25" s="1590"/>
      <c r="K25" s="1599"/>
    </row>
    <row customHeight="1" ht="33.75">
      <c r="F26" s="1595" t="s">
        <v>1000</v>
      </c>
      <c r="G26" s="1602" t="s">
        <v>1001</v>
      </c>
      <c r="H26" s="1601">
        <f>SUM(I26:J26)</f>
        <v>0</v>
      </c>
      <c r="I26" s="1600"/>
      <c r="J26" s="1590"/>
      <c r="K26" s="1599"/>
    </row>
    <row customHeight="1" ht="11.25">
      <c r="F27" s="1595" t="s">
        <v>1002</v>
      </c>
      <c r="G27" s="1602" t="s">
        <v>1003</v>
      </c>
      <c r="H27" s="1601">
        <f>SUM(I27:J27)</f>
        <v>0</v>
      </c>
      <c r="I27" s="1600"/>
      <c r="J27" s="1590"/>
      <c r="K27" s="1599"/>
    </row>
    <row customHeight="1" ht="11.25">
      <c r="F28" s="1595">
        <v>2</v>
      </c>
      <c r="G28" s="1051" t="s">
        <v>1004</v>
      </c>
      <c r="H28" s="1601">
        <f>SUM(I28:J28)</f>
        <v>0</v>
      </c>
      <c r="I28" s="1601">
        <f>SUM(I29:I31)</f>
        <v>0</v>
      </c>
      <c r="J28" s="1590"/>
      <c r="K28" s="1599"/>
    </row>
    <row customHeight="1" ht="11.25">
      <c r="F29" s="1595" t="s">
        <v>663</v>
      </c>
      <c r="G29" s="1602" t="s">
        <v>1005</v>
      </c>
      <c r="H29" s="1601">
        <f>SUM(I29:J29)</f>
        <v>0</v>
      </c>
      <c r="I29" s="1600"/>
      <c r="J29" s="1590"/>
      <c r="K29" s="1599"/>
    </row>
    <row customHeight="1" ht="11.25">
      <c r="F30" s="1595" t="s">
        <v>348</v>
      </c>
      <c r="G30" s="1602" t="s">
        <v>1006</v>
      </c>
      <c r="H30" s="1601">
        <f>SUM(I30:J30)</f>
        <v>0</v>
      </c>
      <c r="I30" s="1600"/>
      <c r="J30" s="1590"/>
      <c r="K30" s="1599"/>
    </row>
    <row customHeight="1" ht="11.25">
      <c r="F31" s="1595" t="s">
        <v>351</v>
      </c>
      <c r="G31" s="1602" t="s">
        <v>1007</v>
      </c>
      <c r="H31" s="1601">
        <f>SUM(I31:J31)</f>
        <v>0</v>
      </c>
      <c r="I31" s="1600"/>
      <c r="J31" s="1590"/>
      <c r="K31" s="1599"/>
    </row>
    <row customHeight="1" ht="11.25">
      <c r="F32" s="1595">
        <v>3</v>
      </c>
      <c r="G32" s="1051" t="s">
        <v>1008</v>
      </c>
      <c r="H32" s="1601">
        <f>SUM(I32:J32)</f>
        <v>0</v>
      </c>
      <c r="I32" s="1601">
        <f>SUM(I33:I34)</f>
        <v>0</v>
      </c>
      <c r="J32" s="1590"/>
      <c r="K32" s="1599"/>
    </row>
    <row customHeight="1" ht="33.75">
      <c r="F33" s="1595" t="s">
        <v>365</v>
      </c>
      <c r="G33" s="1602" t="s">
        <v>1009</v>
      </c>
      <c r="H33" s="1601">
        <f>SUM(I33:J33)</f>
        <v>0</v>
      </c>
      <c r="I33" s="1600"/>
      <c r="J33" s="1590"/>
      <c r="K33" s="1599"/>
    </row>
    <row customHeight="1" ht="11.25">
      <c r="F34" s="1595" t="s">
        <v>373</v>
      </c>
      <c r="G34" s="1602" t="s">
        <v>1010</v>
      </c>
      <c r="H34" s="1601">
        <f>SUM(I34:J34)</f>
        <v>0</v>
      </c>
      <c r="I34" s="1600"/>
      <c r="J34" s="1590"/>
      <c r="K34" s="1599"/>
    </row>
    <row customHeight="1" ht="11.25">
      <c r="F35" s="1595">
        <v>4</v>
      </c>
      <c r="G35" s="1051" t="s">
        <v>1011</v>
      </c>
      <c r="H35" s="1601">
        <f>SUM(I35:J35)</f>
        <v>0</v>
      </c>
      <c r="I35" s="1600"/>
      <c r="J35" s="1590"/>
      <c r="K35" s="1599"/>
    </row>
    <row customHeight="1" ht="11.25">
      <c r="F36" s="1595"/>
      <c r="G36" s="1054" t="s">
        <v>1012</v>
      </c>
      <c r="H36" s="1601">
        <f>SUM(I36:J36)</f>
        <v>0</v>
      </c>
      <c r="I36" s="1601">
        <f>SUM(I15,I28,I32,I35)</f>
        <v>0</v>
      </c>
      <c r="J36" s="1590"/>
      <c r="K36" s="1599"/>
    </row>
    <row customHeight="1" ht="27.75">
      <c r="F37" s="1596" t="s">
        <v>1013</v>
      </c>
      <c r="G37" s="2684" t="s">
        <v>1014</v>
      </c>
      <c r="H37" s="2684"/>
      <c r="I37" s="2684"/>
      <c r="J37" s="2684"/>
      <c r="K37" s="1599"/>
    </row>
    <row customHeight="1" ht="22.5">
      <c r="F38" s="1595" t="s">
        <v>118</v>
      </c>
      <c r="G38" s="1051" t="s">
        <v>1015</v>
      </c>
      <c r="H38" s="1601">
        <f>SUM(I38:J38)</f>
        <v>0</v>
      </c>
      <c r="I38" s="1601">
        <f>SUM(I39,I44,I47)</f>
        <v>0</v>
      </c>
      <c r="J38" s="1590"/>
      <c r="K38" s="1599"/>
    </row>
    <row customHeight="1" ht="11.25">
      <c r="F39" s="1595" t="s">
        <v>980</v>
      </c>
      <c r="G39" s="1602" t="s">
        <v>979</v>
      </c>
      <c r="H39" s="1601">
        <f>SUM(I39:J39)</f>
        <v>0</v>
      </c>
      <c r="I39" s="1601">
        <f>SUM(I40:I43)</f>
        <v>0</v>
      </c>
      <c r="J39" s="1590"/>
      <c r="K39" s="1599"/>
    </row>
    <row customHeight="1" ht="22.5">
      <c r="F40" s="1595" t="s">
        <v>1016</v>
      </c>
      <c r="G40" s="1603" t="s">
        <v>1017</v>
      </c>
      <c r="H40" s="1601">
        <f>SUM(I40:J40)</f>
        <v>0</v>
      </c>
      <c r="I40" s="1600"/>
      <c r="J40" s="1590"/>
      <c r="K40" s="1599"/>
    </row>
    <row customHeight="1" ht="11.25">
      <c r="F41" s="1595" t="s">
        <v>1018</v>
      </c>
      <c r="G41" s="1603" t="s">
        <v>1019</v>
      </c>
      <c r="H41" s="1601">
        <f>SUM(I41:J41)</f>
        <v>0</v>
      </c>
      <c r="I41" s="1600"/>
      <c r="J41" s="1590"/>
      <c r="K41" s="1599"/>
    </row>
    <row customHeight="1" ht="11.25">
      <c r="F42" s="1595" t="s">
        <v>1020</v>
      </c>
      <c r="G42" s="1603" t="s">
        <v>1021</v>
      </c>
      <c r="H42" s="1601">
        <f>SUM(I42:J42)</f>
        <v>0</v>
      </c>
      <c r="I42" s="1600"/>
      <c r="J42" s="1590"/>
      <c r="K42" s="1599"/>
    </row>
    <row customHeight="1" ht="33.75">
      <c r="F43" s="1595" t="s">
        <v>1022</v>
      </c>
      <c r="G43" s="1603" t="s">
        <v>1023</v>
      </c>
      <c r="H43" s="1601">
        <f>SUM(I43:J43)</f>
        <v>0</v>
      </c>
      <c r="I43" s="1600"/>
      <c r="J43" s="1590"/>
      <c r="K43" s="1599"/>
    </row>
    <row customHeight="1" ht="11.25">
      <c r="F44" s="1595" t="s">
        <v>982</v>
      </c>
      <c r="G44" s="1602" t="s">
        <v>1008</v>
      </c>
      <c r="H44" s="1601">
        <f>SUM(I44:J44)</f>
        <v>0</v>
      </c>
      <c r="I44" s="1601">
        <f>SUM(I45:I46)</f>
        <v>0</v>
      </c>
      <c r="J44" s="1590"/>
      <c r="K44" s="1599"/>
    </row>
    <row customHeight="1" ht="45">
      <c r="F45" s="1595" t="s">
        <v>1024</v>
      </c>
      <c r="G45" s="1603" t="s">
        <v>1009</v>
      </c>
      <c r="H45" s="1601">
        <f>SUM(I45:J45)</f>
        <v>0</v>
      </c>
      <c r="I45" s="1600"/>
      <c r="J45" s="1590"/>
      <c r="K45" s="1599"/>
    </row>
    <row customHeight="1" ht="11.25">
      <c r="F46" s="1595" t="s">
        <v>1025</v>
      </c>
      <c r="G46" s="1603" t="s">
        <v>1010</v>
      </c>
      <c r="H46" s="1601">
        <f>SUM(I46:J46)</f>
        <v>0</v>
      </c>
      <c r="I46" s="1600"/>
      <c r="J46" s="1590"/>
      <c r="K46" s="1599"/>
    </row>
    <row customHeight="1" ht="11.25">
      <c r="F47" s="1595" t="s">
        <v>984</v>
      </c>
      <c r="G47" s="1602" t="s">
        <v>1026</v>
      </c>
      <c r="H47" s="1601">
        <f>SUM(I47:J47)</f>
        <v>0</v>
      </c>
      <c r="I47" s="1600"/>
      <c r="J47" s="1590"/>
      <c r="K47" s="1599"/>
    </row>
    <row customHeight="1" ht="22.5">
      <c r="F48" s="1595" t="s">
        <v>102</v>
      </c>
      <c r="G48" s="1051" t="s">
        <v>1027</v>
      </c>
      <c r="H48" s="1601">
        <f>SUM(I48:J48)</f>
        <v>0</v>
      </c>
      <c r="I48" s="1601">
        <f>SUM(I49,I54,I57)</f>
        <v>0</v>
      </c>
      <c r="J48" s="1590"/>
      <c r="K48" s="1599"/>
    </row>
    <row customHeight="1" ht="11.25">
      <c r="F49" s="1595" t="s">
        <v>663</v>
      </c>
      <c r="G49" s="1602" t="s">
        <v>979</v>
      </c>
      <c r="H49" s="1601">
        <f>SUM(I49:J49)</f>
        <v>0</v>
      </c>
      <c r="I49" s="1601">
        <f>SUM(I50:I53)</f>
        <v>0</v>
      </c>
      <c r="J49" s="1590"/>
      <c r="K49" s="1599"/>
    </row>
    <row customHeight="1" ht="22.5">
      <c r="F50" s="1595" t="s">
        <v>666</v>
      </c>
      <c r="G50" s="1603" t="s">
        <v>1017</v>
      </c>
      <c r="H50" s="1601">
        <f>SUM(I50:J50)</f>
        <v>0</v>
      </c>
      <c r="I50" s="1600"/>
      <c r="J50" s="1590"/>
      <c r="K50" s="1599"/>
    </row>
    <row customHeight="1" ht="11.25">
      <c r="F51" s="1595" t="s">
        <v>669</v>
      </c>
      <c r="G51" s="1603" t="s">
        <v>1019</v>
      </c>
      <c r="H51" s="1601">
        <f>SUM(I51:J51)</f>
        <v>0</v>
      </c>
      <c r="I51" s="1600"/>
      <c r="J51" s="1590"/>
      <c r="K51" s="1599"/>
    </row>
    <row customHeight="1" ht="11.25">
      <c r="F52" s="1595" t="s">
        <v>1028</v>
      </c>
      <c r="G52" s="1603" t="s">
        <v>1021</v>
      </c>
      <c r="H52" s="1601">
        <f>SUM(I52:J52)</f>
        <v>0</v>
      </c>
      <c r="I52" s="1600"/>
      <c r="J52" s="1590"/>
      <c r="K52" s="1599"/>
    </row>
    <row customHeight="1" ht="33.75">
      <c r="F53" s="1595" t="s">
        <v>1029</v>
      </c>
      <c r="G53" s="1603" t="s">
        <v>1023</v>
      </c>
      <c r="H53" s="1601">
        <f>SUM(I53:J53)</f>
        <v>0</v>
      </c>
      <c r="I53" s="1600"/>
      <c r="J53" s="1590"/>
      <c r="K53" s="1599"/>
    </row>
    <row customHeight="1" ht="11.25">
      <c r="F54" s="1595" t="s">
        <v>348</v>
      </c>
      <c r="G54" s="1602" t="s">
        <v>1008</v>
      </c>
      <c r="H54" s="1601">
        <f>SUM(I54:J54)</f>
        <v>0</v>
      </c>
      <c r="I54" s="1601">
        <f>SUM(I55:I56)</f>
        <v>0</v>
      </c>
      <c r="J54" s="1590"/>
      <c r="K54" s="1599"/>
    </row>
    <row customHeight="1" ht="45">
      <c r="F55" s="1595" t="s">
        <v>673</v>
      </c>
      <c r="G55" s="1603" t="s">
        <v>1009</v>
      </c>
      <c r="H55" s="1601">
        <f>SUM(I55:J55)</f>
        <v>0</v>
      </c>
      <c r="I55" s="1600"/>
      <c r="J55" s="1590"/>
      <c r="K55" s="1599"/>
    </row>
    <row customHeight="1" ht="11.25">
      <c r="F56" s="1595" t="s">
        <v>675</v>
      </c>
      <c r="G56" s="1603" t="s">
        <v>1010</v>
      </c>
      <c r="H56" s="1601">
        <f>SUM(I56:J56)</f>
        <v>0</v>
      </c>
      <c r="I56" s="1600"/>
      <c r="J56" s="1590"/>
      <c r="K56" s="1599"/>
    </row>
    <row customHeight="1" ht="11.25">
      <c r="F57" s="1595" t="s">
        <v>351</v>
      </c>
      <c r="G57" s="1602" t="s">
        <v>1026</v>
      </c>
      <c r="H57" s="1601">
        <f>SUM(I57:J57)</f>
        <v>0</v>
      </c>
      <c r="I57" s="1600"/>
      <c r="J57" s="1590"/>
      <c r="K57" s="1599"/>
    </row>
    <row customHeight="1" ht="11.25">
      <c r="F58" s="1595"/>
      <c r="G58" s="1604" t="s">
        <v>1012</v>
      </c>
      <c r="H58" s="1601">
        <f>SUM(I58:J58)</f>
        <v>0</v>
      </c>
      <c r="I58" s="1601">
        <f>SUM(I38,I48)</f>
        <v>0</v>
      </c>
      <c r="J58" s="1590"/>
      <c r="K58" s="1599"/>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B16657-0886-2899-C2C7-3244C5EB5B51}"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37258" width="4.7109375" hidden="1" customWidth="1"/>
    <col min="2" max="2" style="37259" width="4.7109375" hidden="1" customWidth="1"/>
    <col min="3" max="4" style="37258" width="4.7109375" hidden="1" customWidth="1"/>
    <col min="5" max="5" style="37258" width="3.57421875" customWidth="1"/>
    <col min="6" max="6" style="37258" width="6.7109375" customWidth="1"/>
    <col min="7" max="7" style="37258" width="18.7109375" customWidth="1"/>
    <col min="8" max="8" style="37258" width="27.28125" customWidth="1"/>
    <col min="9" max="9" style="37258" width="18.7109375" customWidth="1"/>
    <col min="10" max="14" style="37258" width="0.8515625" hidden="1" customWidth="1"/>
    <col min="15" max="28" style="37258" width="21.7109375" hidden="1" customWidth="1"/>
    <col min="29" max="71" style="37258" width="0.8515625" hidden="1" customWidth="1"/>
    <col min="72" max="79" style="37258" width="21.7109375" customWidth="1"/>
    <col min="80" max="81" style="37258" width="29.140625" customWidth="1"/>
    <col min="82" max="89" style="37258" width="21.7109375" customWidth="1"/>
    <col min="90" max="102" style="37258" width="0.7109375" customWidth="1"/>
    <col min="103" max="114" style="37258" width="21.7109375" hidden="1" customWidth="1"/>
    <col min="115" max="178" style="37258" width="0.7109375" hidden="1" customWidth="1"/>
    <col min="179" max="179" style="37258" width="0.140625" customWidth="1"/>
    <col min="180" max="184" style="37258" width="9.140625"/>
  </cols>
  <sheetData>
    <row s="37184" customFormat="1" customHeight="1" ht="12" hidden="1">
      <c r="B1" s="1284"/>
      <c r="C1" s="1285"/>
      <c r="D1" s="1285"/>
    </row>
    <row s="37184" customFormat="1" customHeight="1" ht="12" hidden="1">
      <c r="B2" s="1284"/>
      <c r="C2" s="1285"/>
      <c r="D2" s="1285"/>
      <c r="E2" s="1285"/>
      <c r="F2" s="1285"/>
      <c r="G2" s="1285"/>
      <c r="H2" s="1285"/>
      <c r="I2" s="1285"/>
      <c r="J2" s="1285"/>
      <c r="K2" s="1285"/>
      <c r="L2" s="1285"/>
      <c r="M2" s="1285"/>
      <c r="N2" s="1285"/>
      <c r="O2" s="1285"/>
      <c r="P2" s="1285"/>
      <c r="Q2" s="1285"/>
      <c r="R2" s="1285"/>
      <c r="S2" s="1285"/>
      <c r="T2" s="1285"/>
      <c r="U2" s="1285"/>
      <c r="V2" s="1285"/>
      <c r="W2" s="1285"/>
      <c r="X2" s="1285"/>
      <c r="Y2" s="1285"/>
      <c r="Z2" s="1285"/>
      <c r="AA2" s="1285"/>
      <c r="AB2" s="1286"/>
      <c r="AC2" s="1285"/>
      <c r="AD2" s="1285"/>
      <c r="AE2" s="1285"/>
      <c r="AF2" s="1285"/>
      <c r="AG2" s="1285"/>
      <c r="AH2" s="1285"/>
      <c r="AI2" s="1285"/>
      <c r="AJ2" s="1285"/>
      <c r="AK2" s="1285"/>
      <c r="AL2" s="1285"/>
      <c r="AM2" s="1285"/>
      <c r="AN2" s="1285"/>
      <c r="AO2" s="1285"/>
      <c r="AP2" s="1285"/>
      <c r="AQ2" s="1285"/>
      <c r="AR2" s="1285"/>
      <c r="AS2" s="1285"/>
      <c r="AT2" s="1285"/>
      <c r="AU2" s="1285"/>
      <c r="AV2" s="1285"/>
      <c r="AW2" s="1285"/>
      <c r="AX2" s="1285"/>
      <c r="AY2" s="1285"/>
      <c r="AZ2" s="1285"/>
      <c r="BA2" s="1285"/>
      <c r="BB2" s="1285"/>
      <c r="BC2" s="1285"/>
      <c r="BD2" s="1285"/>
      <c r="BE2" s="1285"/>
      <c r="BF2" s="1285"/>
      <c r="BG2" s="1285"/>
      <c r="BH2" s="1285"/>
      <c r="BI2" s="1285"/>
      <c r="BJ2" s="1285"/>
      <c r="BK2" s="1285"/>
      <c r="BL2" s="1285"/>
      <c r="BM2" s="1285"/>
      <c r="BN2" s="1285"/>
      <c r="BO2" s="1285"/>
      <c r="BP2" s="1285"/>
      <c r="BQ2" s="1285"/>
      <c r="BR2" s="1285"/>
      <c r="BS2" s="1285"/>
      <c r="BT2" s="1285"/>
      <c r="BU2" s="1285"/>
      <c r="BV2" s="1285"/>
      <c r="BW2" s="1285"/>
      <c r="BX2" s="1285"/>
      <c r="BY2" s="1285"/>
      <c r="BZ2" s="1285"/>
      <c r="CA2" s="1285"/>
      <c r="CB2" s="1285"/>
      <c r="CC2" s="1285"/>
      <c r="CD2" s="1285"/>
      <c r="CE2" s="1285"/>
      <c r="CF2" s="1285"/>
      <c r="CG2" s="1285"/>
      <c r="CH2" s="1285"/>
      <c r="CI2" s="1285"/>
      <c r="CJ2" s="1285"/>
      <c r="CK2" s="1285"/>
      <c r="CL2" s="1285"/>
      <c r="CM2" s="1285"/>
      <c r="CN2" s="1285"/>
      <c r="CO2" s="1285"/>
      <c r="CP2" s="1285"/>
      <c r="CQ2" s="1285"/>
      <c r="CR2" s="1285"/>
      <c r="CS2" s="1285"/>
      <c r="CT2" s="1285"/>
      <c r="CU2" s="1285"/>
      <c r="CV2" s="1285"/>
      <c r="CW2" s="1285"/>
      <c r="CX2" s="1285"/>
      <c r="CY2" s="1285"/>
      <c r="CZ2" s="1285"/>
      <c r="DA2" s="1285"/>
      <c r="DB2" s="1285"/>
      <c r="DC2" s="1285"/>
      <c r="DD2" s="1285"/>
      <c r="DE2" s="1285"/>
      <c r="DF2" s="1285"/>
      <c r="DG2" s="1285"/>
      <c r="DH2" s="1285"/>
      <c r="DI2" s="1285"/>
      <c r="DJ2" s="1285"/>
      <c r="DK2" s="1285"/>
      <c r="DL2" s="1285"/>
      <c r="DM2" s="1285"/>
      <c r="DN2" s="1285"/>
      <c r="DO2" s="1285"/>
      <c r="DP2" s="1285"/>
      <c r="DQ2" s="1285"/>
      <c r="DR2" s="1285"/>
      <c r="DS2" s="1285"/>
      <c r="DT2" s="1285"/>
      <c r="DU2" s="1285"/>
      <c r="DV2" s="1285"/>
      <c r="DW2" s="1285"/>
      <c r="DX2" s="1285"/>
      <c r="DY2" s="1285"/>
      <c r="DZ2" s="1285"/>
      <c r="EA2" s="1285"/>
      <c r="EB2" s="1285"/>
      <c r="EC2" s="1285"/>
      <c r="ED2" s="1285"/>
      <c r="EE2" s="1285"/>
      <c r="EF2" s="1285"/>
      <c r="EG2" s="1285"/>
      <c r="EH2" s="1285"/>
      <c r="EI2" s="1285"/>
      <c r="EJ2" s="1285"/>
      <c r="EK2" s="1285"/>
      <c r="EL2" s="1285"/>
      <c r="EM2" s="1285"/>
      <c r="EN2" s="1285"/>
      <c r="EO2" s="1285"/>
      <c r="EP2" s="1285"/>
      <c r="EQ2" s="1285"/>
      <c r="ER2" s="1285"/>
      <c r="ES2" s="1285"/>
      <c r="ET2" s="1285"/>
      <c r="EU2" s="1285"/>
      <c r="EV2" s="1285"/>
      <c r="EW2" s="1285"/>
      <c r="EX2" s="1285"/>
      <c r="EY2" s="1285"/>
      <c r="EZ2" s="1285"/>
      <c r="FA2" s="1285"/>
      <c r="FB2" s="1285"/>
      <c r="FC2" s="1285"/>
      <c r="FD2" s="1285"/>
      <c r="FE2" s="1285"/>
      <c r="FF2" s="1285"/>
      <c r="FG2" s="1285"/>
      <c r="FH2" s="1285"/>
      <c r="FI2" s="1285"/>
      <c r="FJ2" s="1285"/>
      <c r="FK2" s="1285"/>
      <c r="FL2" s="1285"/>
      <c r="FM2" s="1285"/>
      <c r="FN2" s="1285"/>
      <c r="FO2" s="1285"/>
      <c r="FP2" s="1285"/>
      <c r="FQ2" s="1285"/>
      <c r="FR2" s="1285"/>
      <c r="FS2" s="1285"/>
      <c r="FT2" s="1285"/>
      <c r="FU2" s="1285"/>
      <c r="FV2" s="1285"/>
      <c r="FW2" s="1285"/>
    </row>
    <row s="37184" customFormat="1" customHeight="1" ht="12" hidden="1">
      <c r="B3" s="1284"/>
      <c r="C3" s="1285"/>
      <c r="D3" s="1285"/>
      <c r="E3" s="1285"/>
      <c r="F3" s="1285"/>
      <c r="G3" s="1285"/>
      <c r="H3" s="1285"/>
      <c r="I3" s="1285"/>
      <c r="J3" s="1285"/>
      <c r="K3" s="1285"/>
      <c r="L3" s="1285"/>
      <c r="M3" s="1285"/>
      <c r="N3" s="1285"/>
      <c r="O3" s="1285"/>
      <c r="P3" s="1285"/>
      <c r="Q3" s="1285"/>
      <c r="R3" s="1285"/>
      <c r="S3" s="1285"/>
      <c r="T3" s="1285"/>
      <c r="U3" s="1285"/>
      <c r="V3" s="1285"/>
      <c r="W3" s="1285"/>
      <c r="X3" s="1285"/>
      <c r="Y3" s="1285"/>
      <c r="Z3" s="1285"/>
      <c r="AA3" s="1285"/>
      <c r="AB3" s="1286"/>
      <c r="AC3" s="1285"/>
      <c r="AD3" s="1285"/>
      <c r="AE3" s="1285"/>
      <c r="AF3" s="1285"/>
      <c r="AG3" s="1285"/>
      <c r="AH3" s="1285"/>
      <c r="AI3" s="1285"/>
      <c r="AJ3" s="1285"/>
      <c r="AK3" s="1285"/>
      <c r="AL3" s="1285"/>
      <c r="AM3" s="1285"/>
      <c r="AN3" s="1285"/>
      <c r="AO3" s="1285"/>
      <c r="AP3" s="1285"/>
      <c r="AQ3" s="1285"/>
      <c r="AR3" s="1285"/>
      <c r="AS3" s="1285"/>
      <c r="AT3" s="1285"/>
      <c r="AU3" s="1285"/>
      <c r="AV3" s="1285"/>
      <c r="AW3" s="1285"/>
      <c r="AX3" s="1285"/>
      <c r="AY3" s="1285"/>
      <c r="AZ3" s="1285"/>
      <c r="BA3" s="1285"/>
      <c r="BB3" s="1285"/>
      <c r="BC3" s="1285"/>
      <c r="BD3" s="1285"/>
      <c r="BE3" s="1285"/>
      <c r="BF3" s="1285"/>
      <c r="BG3" s="1285"/>
      <c r="BH3" s="1285"/>
      <c r="BI3" s="1285"/>
      <c r="BJ3" s="1285"/>
      <c r="BK3" s="1285"/>
      <c r="BL3" s="1285"/>
      <c r="BM3" s="1285"/>
      <c r="BN3" s="1285"/>
      <c r="BO3" s="1285"/>
      <c r="BP3" s="1285"/>
      <c r="BQ3" s="1285"/>
      <c r="BR3" s="1285"/>
      <c r="BS3" s="1285"/>
      <c r="BT3" s="1285"/>
      <c r="BU3" s="1285"/>
      <c r="BV3" s="1285"/>
      <c r="BW3" s="1285"/>
      <c r="BX3" s="1285"/>
      <c r="BY3" s="1285"/>
      <c r="BZ3" s="1285"/>
      <c r="CA3" s="1285"/>
      <c r="CB3" s="1285"/>
      <c r="CC3" s="1285"/>
      <c r="CD3" s="1285"/>
      <c r="CE3" s="1285"/>
      <c r="CF3" s="1285"/>
      <c r="CG3" s="1285"/>
      <c r="CH3" s="1285"/>
      <c r="CI3" s="1285"/>
      <c r="CJ3" s="1285"/>
      <c r="CK3" s="1285"/>
      <c r="CL3" s="1285"/>
      <c r="CM3" s="1285"/>
      <c r="CN3" s="1285"/>
      <c r="CO3" s="1285"/>
      <c r="CP3" s="1285"/>
      <c r="CQ3" s="1285"/>
      <c r="CR3" s="1285"/>
      <c r="CS3" s="1285"/>
      <c r="CT3" s="1285"/>
      <c r="CU3" s="1285"/>
      <c r="CV3" s="1285"/>
      <c r="CW3" s="1285"/>
      <c r="CX3" s="1285"/>
      <c r="CY3" s="1285"/>
      <c r="CZ3" s="1285"/>
      <c r="DA3" s="1285"/>
      <c r="DB3" s="1285"/>
      <c r="DC3" s="1285"/>
      <c r="DD3" s="1285"/>
      <c r="DE3" s="1285"/>
      <c r="DF3" s="1285"/>
      <c r="DG3" s="1285"/>
      <c r="DH3" s="1285"/>
      <c r="DI3" s="1285"/>
      <c r="DJ3" s="1285"/>
      <c r="DK3" s="1285"/>
      <c r="DL3" s="1285"/>
      <c r="DM3" s="1285"/>
      <c r="DN3" s="1285"/>
      <c r="DO3" s="1285"/>
      <c r="DP3" s="1285"/>
      <c r="DQ3" s="1285"/>
      <c r="DR3" s="1285"/>
      <c r="DS3" s="1285"/>
      <c r="DT3" s="1285"/>
      <c r="DU3" s="1285"/>
      <c r="DV3" s="1285"/>
      <c r="DW3" s="1285"/>
      <c r="DX3" s="1285"/>
      <c r="DY3" s="1285"/>
      <c r="DZ3" s="1285"/>
      <c r="EA3" s="1285"/>
      <c r="EB3" s="1285"/>
      <c r="EC3" s="1285"/>
      <c r="ED3" s="1285"/>
      <c r="EE3" s="1285"/>
      <c r="EF3" s="1285"/>
      <c r="EG3" s="1285"/>
      <c r="EH3" s="1285"/>
      <c r="EI3" s="1285"/>
      <c r="EJ3" s="1285"/>
      <c r="EK3" s="1285"/>
      <c r="EL3" s="1285"/>
      <c r="EM3" s="1285"/>
      <c r="EN3" s="1285"/>
      <c r="EO3" s="1285"/>
      <c r="EP3" s="1285"/>
      <c r="EQ3" s="1285"/>
      <c r="ER3" s="1285"/>
      <c r="ES3" s="1285"/>
      <c r="ET3" s="1285"/>
      <c r="EU3" s="1285"/>
      <c r="EV3" s="1285"/>
      <c r="EW3" s="1285"/>
      <c r="EX3" s="1285"/>
      <c r="EY3" s="1285"/>
      <c r="EZ3" s="1285"/>
      <c r="FA3" s="1285"/>
      <c r="FB3" s="1285"/>
      <c r="FC3" s="1285"/>
      <c r="FD3" s="1285"/>
      <c r="FE3" s="1285"/>
      <c r="FF3" s="1285"/>
      <c r="FG3" s="1285"/>
      <c r="FH3" s="1285"/>
      <c r="FI3" s="1285"/>
      <c r="FJ3" s="1285"/>
      <c r="FK3" s="1285"/>
      <c r="FL3" s="1285"/>
      <c r="FM3" s="1285"/>
      <c r="FN3" s="1285"/>
      <c r="FO3" s="1285"/>
      <c r="FP3" s="1285"/>
      <c r="FQ3" s="1285"/>
      <c r="FR3" s="1285"/>
      <c r="FS3" s="1285"/>
      <c r="FT3" s="1285"/>
      <c r="FU3" s="1285"/>
      <c r="FV3" s="1285"/>
      <c r="FW3" s="1285"/>
    </row>
    <row customHeight="1" ht="10.5">
      <c r="B4" s="1288"/>
      <c r="C4" s="1289"/>
      <c r="D4" s="1289"/>
      <c r="E4" s="1289"/>
      <c r="F4" s="1289"/>
      <c r="G4" s="1289"/>
      <c r="H4" s="1290"/>
      <c r="I4" s="1290"/>
      <c r="J4" s="1290"/>
      <c r="K4" s="1290"/>
      <c r="L4" s="1290"/>
      <c r="M4" s="1291"/>
      <c r="N4" s="1291"/>
      <c r="O4" s="1291"/>
      <c r="P4" s="1291"/>
      <c r="Q4" s="1291"/>
      <c r="R4" s="1291"/>
      <c r="S4" s="1291"/>
      <c r="T4" s="1291"/>
      <c r="U4" s="1291"/>
      <c r="V4" s="1291"/>
      <c r="W4" s="1291"/>
      <c r="X4" s="1291"/>
      <c r="Y4" s="1291"/>
      <c r="Z4" s="1291"/>
      <c r="AA4" s="1291"/>
      <c r="AB4" s="1291"/>
      <c r="AC4" s="1291"/>
      <c r="AD4" s="1291"/>
      <c r="AE4" s="1291"/>
      <c r="AF4" s="1291"/>
      <c r="AG4" s="1291"/>
      <c r="AH4" s="1291"/>
      <c r="AI4" s="1291"/>
      <c r="AJ4" s="1291"/>
      <c r="AK4" s="1291"/>
      <c r="AL4" s="1291"/>
      <c r="AM4" s="1291"/>
      <c r="AN4" s="1291"/>
      <c r="AO4" s="1291"/>
      <c r="AP4" s="1291"/>
      <c r="AQ4" s="1291"/>
      <c r="AR4" s="1291"/>
      <c r="AS4" s="1291"/>
      <c r="AT4" s="1291"/>
      <c r="AU4" s="1291"/>
      <c r="AV4" s="1291"/>
      <c r="AW4" s="1291"/>
      <c r="AX4" s="1291"/>
      <c r="AY4" s="1291"/>
      <c r="AZ4" s="1291"/>
      <c r="BA4" s="1291"/>
      <c r="BB4" s="1291"/>
      <c r="BC4" s="1291"/>
      <c r="BD4" s="1291"/>
      <c r="BE4" s="1291"/>
      <c r="BF4" s="1291"/>
      <c r="BG4" s="1291"/>
      <c r="BH4" s="1291"/>
      <c r="BI4" s="1291"/>
      <c r="BJ4" s="1291"/>
      <c r="BK4" s="1291"/>
      <c r="BL4" s="1291"/>
      <c r="BM4" s="1291"/>
      <c r="BN4" s="1291"/>
      <c r="BO4" s="1291"/>
      <c r="BP4" s="1291"/>
      <c r="BQ4" s="1291"/>
      <c r="BR4" s="1291"/>
      <c r="BS4" s="1291"/>
      <c r="BT4" s="1291"/>
      <c r="BU4" s="1291"/>
      <c r="BV4" s="1291"/>
      <c r="BW4" s="1291"/>
      <c r="BX4" s="1291"/>
      <c r="BY4" s="1291"/>
      <c r="BZ4" s="1291"/>
      <c r="CA4" s="1291"/>
      <c r="CB4" s="1291"/>
      <c r="CC4" s="1291"/>
      <c r="CD4" s="1291"/>
      <c r="CE4" s="1291"/>
      <c r="CF4" s="1291"/>
      <c r="CG4" s="1291"/>
      <c r="CH4" s="1291"/>
      <c r="CI4" s="1291"/>
      <c r="CJ4" s="1291"/>
      <c r="CK4" s="1291"/>
      <c r="CL4" s="1291"/>
      <c r="CM4" s="1291"/>
      <c r="CN4" s="1291"/>
      <c r="CO4" s="1291"/>
      <c r="CP4" s="1291"/>
      <c r="CQ4" s="1291"/>
      <c r="CR4" s="1291"/>
      <c r="CS4" s="1291"/>
      <c r="CT4" s="1291"/>
      <c r="CU4" s="1291"/>
      <c r="CV4" s="1291"/>
      <c r="CW4" s="1291"/>
      <c r="CX4" s="1291"/>
      <c r="CY4" s="1291"/>
      <c r="CZ4" s="1291"/>
      <c r="DA4" s="1291"/>
      <c r="DB4" s="1291"/>
      <c r="DC4" s="1291"/>
      <c r="DD4" s="1291"/>
      <c r="DE4" s="1291"/>
      <c r="DF4" s="1291"/>
      <c r="DG4" s="1291"/>
      <c r="DH4" s="1291"/>
      <c r="DI4" s="1291"/>
      <c r="DJ4" s="1291"/>
      <c r="DK4" s="1291"/>
      <c r="DL4" s="1291"/>
      <c r="DM4" s="1291"/>
      <c r="DN4" s="1291"/>
      <c r="DO4" s="1291"/>
      <c r="DP4" s="1291"/>
      <c r="DQ4" s="1291"/>
      <c r="DR4" s="1291"/>
      <c r="DS4" s="1291"/>
      <c r="DT4" s="1291"/>
      <c r="DU4" s="1291"/>
      <c r="DV4" s="1291"/>
      <c r="DW4" s="1291"/>
      <c r="DX4" s="1291"/>
      <c r="DY4" s="1291"/>
      <c r="DZ4" s="1291"/>
      <c r="EA4" s="1291"/>
      <c r="EB4" s="1291"/>
      <c r="EC4" s="1291"/>
      <c r="ED4" s="1291"/>
      <c r="EE4" s="1291"/>
      <c r="EF4" s="1291"/>
      <c r="EG4" s="1291"/>
      <c r="EH4" s="1291"/>
      <c r="EI4" s="1291"/>
      <c r="EJ4" s="1291"/>
      <c r="EK4" s="1291"/>
      <c r="EL4" s="1291"/>
      <c r="EM4" s="1291"/>
      <c r="EN4" s="1291"/>
      <c r="EO4" s="1291"/>
      <c r="EP4" s="1291"/>
      <c r="EQ4" s="1291"/>
      <c r="ER4" s="1291"/>
      <c r="ES4" s="1291"/>
      <c r="ET4" s="1291"/>
      <c r="EU4" s="1291"/>
      <c r="EV4" s="1291"/>
      <c r="EW4" s="1291"/>
      <c r="EX4" s="1291"/>
      <c r="EY4" s="1291"/>
      <c r="EZ4" s="1291"/>
      <c r="FA4" s="1291"/>
      <c r="FB4" s="1291"/>
      <c r="FC4" s="1291"/>
      <c r="FD4" s="1291"/>
      <c r="FE4" s="1291"/>
      <c r="FF4" s="1291"/>
      <c r="FG4" s="1291"/>
      <c r="FH4" s="1291"/>
      <c r="FI4" s="1291"/>
      <c r="FJ4" s="1291"/>
      <c r="FK4" s="1291"/>
      <c r="FL4" s="1291"/>
      <c r="FM4" s="1291"/>
      <c r="FN4" s="1291"/>
      <c r="FO4" s="1291"/>
      <c r="FP4" s="1291"/>
      <c r="FQ4" s="1291"/>
      <c r="FR4" s="1291"/>
      <c r="FS4" s="1291"/>
      <c r="FT4" s="1291"/>
      <c r="FU4" s="1291"/>
      <c r="FV4" s="1291"/>
      <c r="FW4" s="1291"/>
    </row>
    <row s="37192" customFormat="1" customHeight="1" ht="25.5">
      <c r="B5" s="2239"/>
      <c r="E5" s="2241"/>
      <c r="F5" s="2718"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 на  год</v>
      </c>
      <c r="G5" s="2436"/>
      <c r="H5" s="2436"/>
      <c r="I5" s="2436"/>
      <c r="J5" s="2436"/>
      <c r="K5" s="2436"/>
      <c r="L5" s="2436"/>
      <c r="M5" s="2436"/>
      <c r="N5" s="2436"/>
      <c r="O5" s="2436"/>
      <c r="P5" s="2436"/>
      <c r="Q5" s="2436"/>
      <c r="R5" s="2436"/>
      <c r="S5" s="2436"/>
      <c r="T5" s="2436"/>
      <c r="U5" s="2436"/>
      <c r="V5" s="2436"/>
      <c r="W5" s="2436"/>
      <c r="X5" s="2436"/>
      <c r="Y5" s="2436"/>
      <c r="Z5" s="2436"/>
      <c r="AA5" s="2436"/>
      <c r="AB5" s="2436"/>
      <c r="AC5" s="2436"/>
      <c r="AD5" s="2436"/>
      <c r="AE5" s="2436"/>
      <c r="AF5" s="2436"/>
      <c r="AG5" s="2436"/>
      <c r="AH5" s="2436"/>
      <c r="AI5" s="2436"/>
      <c r="AJ5" s="2436"/>
      <c r="AK5" s="2436"/>
      <c r="AL5" s="2436"/>
      <c r="AM5" s="2436"/>
      <c r="AN5" s="2436"/>
      <c r="AO5" s="2436"/>
      <c r="AP5" s="2436"/>
      <c r="AQ5" s="2436"/>
      <c r="AR5" s="2436"/>
      <c r="AS5" s="2436"/>
      <c r="AT5" s="2436"/>
      <c r="AU5" s="2436"/>
      <c r="AV5" s="2436"/>
      <c r="AW5" s="2436"/>
      <c r="AX5" s="2436"/>
      <c r="AY5" s="2436"/>
      <c r="AZ5" s="2436"/>
      <c r="BA5" s="2436"/>
      <c r="BB5" s="2436"/>
      <c r="BC5" s="2436"/>
      <c r="BD5" s="2436"/>
      <c r="BE5" s="2436"/>
      <c r="BF5" s="2436"/>
      <c r="BG5" s="2436"/>
      <c r="BH5" s="2436"/>
      <c r="BI5" s="2436"/>
      <c r="BJ5" s="2436"/>
      <c r="BK5" s="2436"/>
      <c r="BL5" s="2436"/>
      <c r="BM5" s="2436"/>
      <c r="BN5" s="2436"/>
      <c r="BO5" s="2436"/>
      <c r="BP5" s="2436"/>
      <c r="BQ5" s="2436"/>
      <c r="BR5" s="2436"/>
      <c r="BS5" s="2436"/>
    </row>
    <row s="37196" customFormat="1" customHeight="1" ht="18">
      <c r="B6" s="1305"/>
      <c r="E6" s="1307"/>
      <c r="F6" s="2499" t="str">
        <f>IF(org=0,"Не определено",org)</f>
        <v>АО "Мурманэнергосбыт"</v>
      </c>
      <c r="G6" s="2500"/>
      <c r="H6" s="2500"/>
      <c r="I6" s="2500"/>
      <c r="J6" s="2500"/>
      <c r="K6" s="2500"/>
      <c r="L6" s="2500"/>
      <c r="M6" s="2500"/>
      <c r="N6" s="2500"/>
      <c r="O6" s="2500"/>
      <c r="P6" s="2500"/>
      <c r="Q6" s="2500"/>
      <c r="R6" s="2500"/>
      <c r="S6" s="2500"/>
      <c r="T6" s="2500"/>
      <c r="U6" s="2500"/>
      <c r="V6" s="2500"/>
      <c r="W6" s="2500"/>
      <c r="X6" s="2500"/>
      <c r="Y6" s="2500"/>
      <c r="Z6" s="2500"/>
      <c r="AA6" s="2500"/>
      <c r="AB6" s="2500"/>
      <c r="AC6" s="2500"/>
      <c r="AD6" s="2500"/>
      <c r="AE6" s="2500"/>
      <c r="AF6" s="2500"/>
      <c r="AG6" s="2500"/>
      <c r="AH6" s="2500"/>
      <c r="AI6" s="2500"/>
      <c r="AJ6" s="2500"/>
      <c r="AK6" s="2500"/>
      <c r="AL6" s="2500"/>
      <c r="AM6" s="2500"/>
      <c r="AN6" s="2500"/>
      <c r="AO6" s="2500"/>
      <c r="AP6" s="2500"/>
      <c r="AQ6" s="2500"/>
      <c r="AR6" s="2500"/>
      <c r="AS6" s="2500"/>
      <c r="AT6" s="2500"/>
      <c r="AU6" s="2500"/>
      <c r="AV6" s="2500"/>
      <c r="AW6" s="2500"/>
      <c r="AX6" s="2500"/>
      <c r="AY6" s="2500"/>
      <c r="AZ6" s="2500"/>
      <c r="BA6" s="2500"/>
      <c r="BB6" s="2500"/>
      <c r="BC6" s="2500"/>
      <c r="BD6" s="2500"/>
      <c r="BE6" s="2500"/>
      <c r="BF6" s="2500"/>
      <c r="BG6" s="2500"/>
      <c r="BH6" s="2500"/>
      <c r="BI6" s="2500"/>
      <c r="BJ6" s="2500"/>
      <c r="BK6" s="2500"/>
      <c r="BL6" s="2500"/>
      <c r="BM6" s="2500"/>
      <c r="BN6" s="2500"/>
      <c r="BO6" s="2500"/>
      <c r="BP6" s="2500"/>
      <c r="BQ6" s="2500"/>
      <c r="BR6" s="2500"/>
      <c r="BS6" s="2500"/>
    </row>
    <row s="37199" customFormat="1" customHeight="1" ht="10.5">
      <c r="B7" s="1293"/>
      <c r="E7" s="1294"/>
      <c r="F7" s="1294"/>
      <c r="G7" s="1296"/>
      <c r="H7" s="1290"/>
      <c r="I7" s="1290"/>
      <c r="J7" s="1290"/>
      <c r="K7" s="1290"/>
      <c r="L7" s="1290"/>
      <c r="M7" s="1294"/>
      <c r="N7" s="1294"/>
      <c r="O7" s="1294"/>
      <c r="P7" s="1294"/>
      <c r="Q7" s="1294"/>
      <c r="R7" s="1294"/>
      <c r="S7" s="1294"/>
      <c r="T7" s="1294"/>
      <c r="U7" s="1294"/>
      <c r="V7" s="1294"/>
      <c r="W7" s="1294"/>
      <c r="X7" s="1294"/>
      <c r="Y7" s="1294"/>
      <c r="Z7" s="1294"/>
      <c r="AA7" s="1294"/>
      <c r="AB7" s="1294"/>
      <c r="AC7" s="1294"/>
      <c r="AD7" s="1294"/>
      <c r="AE7" s="1294"/>
      <c r="AF7" s="1294"/>
      <c r="AG7" s="1294"/>
      <c r="AH7" s="1294"/>
      <c r="AI7" s="1294"/>
      <c r="AJ7" s="1294"/>
      <c r="AK7" s="1294"/>
      <c r="AL7" s="1294"/>
      <c r="AM7" s="1294"/>
      <c r="AN7" s="1294"/>
      <c r="AO7" s="1294"/>
      <c r="AP7" s="1294"/>
      <c r="AQ7" s="1294"/>
      <c r="AR7" s="1294"/>
      <c r="AS7" s="1294"/>
      <c r="AT7" s="1294"/>
      <c r="AU7" s="1294"/>
      <c r="AV7" s="1294"/>
      <c r="AW7" s="1294"/>
      <c r="AX7" s="1294"/>
      <c r="AY7" s="1294"/>
      <c r="AZ7" s="1294"/>
      <c r="BA7" s="1294"/>
      <c r="BB7" s="1294"/>
      <c r="BC7" s="1294"/>
      <c r="BD7" s="1294"/>
      <c r="BE7" s="1294"/>
      <c r="BF7" s="1294"/>
      <c r="BG7" s="1294"/>
      <c r="BH7" s="1294"/>
      <c r="BI7" s="1294"/>
      <c r="BJ7" s="1294"/>
      <c r="BK7" s="1294"/>
      <c r="BL7" s="1294"/>
      <c r="BM7" s="1294"/>
      <c r="BN7" s="1294"/>
      <c r="BO7" s="1294"/>
      <c r="BP7" s="1294"/>
      <c r="BQ7" s="1294"/>
      <c r="BR7" s="1294"/>
      <c r="BS7" s="1294"/>
      <c r="BT7" s="1294"/>
      <c r="BU7" s="1294"/>
      <c r="BV7" s="1294"/>
      <c r="BW7" s="1294"/>
      <c r="BX7" s="1294"/>
      <c r="BY7" s="1294"/>
      <c r="BZ7" s="1294"/>
      <c r="CA7" s="1294"/>
      <c r="CB7" s="1294"/>
      <c r="CC7" s="1294"/>
      <c r="CD7" s="1294"/>
      <c r="CE7" s="1294"/>
      <c r="CF7" s="1294"/>
      <c r="CG7" s="1294"/>
      <c r="CH7" s="1294"/>
      <c r="CI7" s="1294"/>
      <c r="CJ7" s="1294"/>
      <c r="CK7" s="1294"/>
      <c r="CL7" s="1294"/>
      <c r="CM7" s="1294"/>
      <c r="CN7" s="1294"/>
      <c r="CO7" s="1294"/>
      <c r="CP7" s="1294"/>
      <c r="CQ7" s="1294"/>
      <c r="CR7" s="1294"/>
      <c r="CS7" s="1294"/>
      <c r="CT7" s="1294"/>
      <c r="CU7" s="1294"/>
      <c r="CV7" s="1294"/>
      <c r="CW7" s="1294"/>
      <c r="CX7" s="1294"/>
      <c r="CY7" s="1294"/>
      <c r="CZ7" s="1294"/>
      <c r="DA7" s="1294"/>
      <c r="DB7" s="1294"/>
      <c r="DC7" s="1294"/>
      <c r="DD7" s="1294"/>
      <c r="DE7" s="1294"/>
      <c r="DF7" s="1294"/>
      <c r="DG7" s="1294"/>
      <c r="DH7" s="1294"/>
      <c r="DI7" s="1294"/>
      <c r="DJ7" s="1294"/>
      <c r="DK7" s="1294"/>
      <c r="DL7" s="1294"/>
      <c r="DM7" s="1294"/>
      <c r="DN7" s="1294"/>
      <c r="DO7" s="1294"/>
      <c r="DP7" s="1294"/>
      <c r="DQ7" s="1294"/>
      <c r="DR7" s="1294"/>
      <c r="DS7" s="1294"/>
      <c r="DT7" s="1294"/>
      <c r="DU7" s="1294"/>
      <c r="DV7" s="1294"/>
      <c r="DW7" s="1294"/>
      <c r="DX7" s="1294"/>
      <c r="DY7" s="1294"/>
      <c r="DZ7" s="1294"/>
      <c r="EA7" s="1294"/>
      <c r="EB7" s="1294"/>
      <c r="EC7" s="1294"/>
      <c r="ED7" s="1294"/>
      <c r="EE7" s="1294"/>
      <c r="EF7" s="1294"/>
      <c r="EG7" s="1294"/>
      <c r="EH7" s="1294"/>
      <c r="EI7" s="1294"/>
      <c r="EJ7" s="1294"/>
      <c r="EK7" s="1294"/>
      <c r="EL7" s="1294"/>
      <c r="EM7" s="1294"/>
      <c r="EN7" s="1294"/>
      <c r="EO7" s="1294"/>
      <c r="EP7" s="1294"/>
      <c r="EQ7" s="1294"/>
      <c r="ER7" s="1294"/>
      <c r="ES7" s="1294"/>
      <c r="ET7" s="1294"/>
      <c r="EU7" s="1294"/>
      <c r="EV7" s="1294"/>
      <c r="EW7" s="1294"/>
      <c r="EX7" s="1294"/>
      <c r="EY7" s="1294"/>
      <c r="EZ7" s="1294"/>
      <c r="FA7" s="1294"/>
      <c r="FB7" s="1294"/>
      <c r="FC7" s="1294"/>
      <c r="FD7" s="1294"/>
      <c r="FE7" s="1294"/>
      <c r="FF7" s="1294"/>
      <c r="FG7" s="1294"/>
      <c r="FH7" s="1294"/>
      <c r="FI7" s="1294"/>
      <c r="FJ7" s="1294"/>
      <c r="FK7" s="1294"/>
      <c r="FL7" s="1294"/>
      <c r="FM7" s="1294"/>
      <c r="FN7" s="1294"/>
      <c r="FO7" s="1294"/>
      <c r="FP7" s="1294"/>
      <c r="FQ7" s="1294"/>
      <c r="FR7" s="1294"/>
      <c r="FS7" s="1294"/>
      <c r="FT7" s="1294"/>
      <c r="FU7" s="1294"/>
      <c r="FV7" s="1294"/>
      <c r="FW7" s="1294"/>
    </row>
    <row s="37203" customFormat="1" customHeight="1" ht="11.25" hidden="1">
      <c r="B8" s="1295"/>
      <c r="F8" s="1418"/>
      <c r="G8" s="1124"/>
      <c r="H8" s="721"/>
      <c r="I8" s="721"/>
      <c r="J8" s="721"/>
      <c r="K8" s="721"/>
      <c r="L8" s="721"/>
      <c r="M8" s="1418"/>
      <c r="N8" s="1418"/>
      <c r="O8" s="2704" t="s">
        <v>1030</v>
      </c>
      <c r="P8" s="2705"/>
      <c r="Q8" s="2705"/>
      <c r="R8" s="2705"/>
      <c r="S8" s="2705"/>
      <c r="T8" s="2705"/>
      <c r="U8" s="2705"/>
      <c r="V8" s="2705"/>
      <c r="W8" s="2705"/>
      <c r="X8" s="2705"/>
      <c r="Y8" s="2705"/>
      <c r="Z8" s="2705"/>
      <c r="AA8" s="2705"/>
      <c r="AB8" s="2705"/>
      <c r="AC8" s="2705"/>
      <c r="AD8" s="2705"/>
      <c r="AE8" s="2705"/>
      <c r="AF8" s="2705"/>
      <c r="AG8" s="2705"/>
      <c r="AH8" s="2705"/>
      <c r="AI8" s="2705"/>
      <c r="AJ8" s="2705"/>
      <c r="AK8" s="2705"/>
      <c r="AL8" s="2705"/>
      <c r="AM8" s="2705"/>
      <c r="AN8" s="2705"/>
      <c r="AO8" s="2705"/>
      <c r="AP8" s="2705"/>
      <c r="AQ8" s="2705"/>
      <c r="AR8" s="2705"/>
      <c r="AS8" s="2705"/>
      <c r="AT8" s="2705"/>
      <c r="AU8" s="2705"/>
      <c r="AV8" s="2705"/>
      <c r="AW8" s="2705"/>
      <c r="AX8" s="2705"/>
      <c r="AY8" s="2705"/>
      <c r="AZ8" s="2705"/>
      <c r="BA8" s="2705"/>
      <c r="BB8" s="2705"/>
      <c r="BC8" s="2705"/>
      <c r="BD8" s="2705"/>
      <c r="BE8" s="2705"/>
      <c r="BF8" s="2705"/>
      <c r="BG8" s="2705"/>
      <c r="BH8" s="2705"/>
      <c r="BI8" s="2705"/>
      <c r="BJ8" s="2705"/>
      <c r="BK8" s="2705"/>
      <c r="BL8" s="2705"/>
      <c r="BM8" s="2705"/>
      <c r="BN8" s="2705"/>
      <c r="BO8" s="2705"/>
      <c r="BP8" s="2705"/>
      <c r="BQ8" s="2705"/>
      <c r="BR8" s="2705"/>
      <c r="BS8" s="2706"/>
      <c r="BT8" s="2707"/>
      <c r="BU8" s="2708"/>
      <c r="BV8" s="2708"/>
      <c r="BW8" s="2708"/>
      <c r="BX8" s="2708"/>
      <c r="BY8" s="2708"/>
      <c r="BZ8" s="2708"/>
      <c r="CA8" s="2708"/>
      <c r="CB8" s="2708"/>
      <c r="CC8" s="2708"/>
      <c r="CD8" s="2708"/>
      <c r="CE8" s="2708"/>
      <c r="CF8" s="2708"/>
      <c r="CG8" s="2708"/>
      <c r="CH8" s="2708"/>
      <c r="CI8" s="2708"/>
      <c r="CJ8" s="2708"/>
      <c r="CK8" s="2708"/>
      <c r="CL8" s="2708"/>
      <c r="CM8" s="2708"/>
      <c r="CN8" s="2708"/>
      <c r="CO8" s="2708"/>
      <c r="CP8" s="2708"/>
      <c r="CQ8" s="2708"/>
      <c r="CR8" s="2708"/>
      <c r="CS8" s="2708"/>
      <c r="CT8" s="2708"/>
      <c r="CU8" s="2708"/>
      <c r="CV8" s="2708"/>
      <c r="CW8" s="2708"/>
      <c r="CX8" s="2709"/>
      <c r="CY8" s="2710"/>
      <c r="CZ8" s="2711"/>
      <c r="DA8" s="2711"/>
      <c r="DB8" s="2711"/>
      <c r="DC8" s="2711"/>
      <c r="DD8" s="2711"/>
      <c r="DE8" s="2711"/>
      <c r="DF8" s="2711"/>
      <c r="DG8" s="2711"/>
      <c r="DH8" s="2711"/>
      <c r="DI8" s="2711"/>
      <c r="DJ8" s="2711"/>
      <c r="DK8" s="2711"/>
      <c r="DL8" s="2711"/>
      <c r="DM8" s="2711"/>
      <c r="DN8" s="2711"/>
      <c r="DO8" s="2711"/>
      <c r="DP8" s="2711"/>
      <c r="DQ8" s="2711"/>
      <c r="DR8" s="2711"/>
      <c r="DS8" s="2711"/>
      <c r="DT8" s="2711"/>
      <c r="DU8" s="2711"/>
      <c r="DV8" s="2711"/>
      <c r="DW8" s="2711"/>
      <c r="DX8" s="2712"/>
      <c r="DY8" s="2698" t="s">
        <v>1031</v>
      </c>
      <c r="DZ8" s="2699"/>
      <c r="EA8" s="2699"/>
      <c r="EB8" s="2699"/>
      <c r="EC8" s="2699"/>
      <c r="ED8" s="2699"/>
      <c r="EE8" s="2699"/>
      <c r="EF8" s="2699"/>
      <c r="EG8" s="2699"/>
      <c r="EH8" s="2699"/>
      <c r="EI8" s="2699"/>
      <c r="EJ8" s="2699"/>
      <c r="EK8" s="2699"/>
      <c r="EL8" s="2699"/>
      <c r="EM8" s="2699"/>
      <c r="EN8" s="2699"/>
      <c r="EO8" s="2699"/>
      <c r="EP8" s="2699"/>
      <c r="EQ8" s="2699"/>
      <c r="ER8" s="2699"/>
      <c r="ES8" s="2699"/>
      <c r="ET8" s="2699"/>
      <c r="EU8" s="2699"/>
      <c r="EV8" s="2699"/>
      <c r="EW8" s="2699"/>
      <c r="EX8" s="2699"/>
      <c r="EY8" s="2699"/>
      <c r="EZ8" s="2699"/>
      <c r="FA8" s="2699"/>
      <c r="FB8" s="2699"/>
      <c r="FC8" s="2699"/>
      <c r="FD8" s="2699"/>
      <c r="FE8" s="2699"/>
      <c r="FF8" s="2699"/>
      <c r="FG8" s="2699"/>
      <c r="FH8" s="2699"/>
      <c r="FI8" s="2699"/>
      <c r="FJ8" s="2699"/>
      <c r="FK8" s="2699"/>
      <c r="FL8" s="2699"/>
      <c r="FM8" s="2699"/>
      <c r="FN8" s="2699"/>
      <c r="FO8" s="2699"/>
      <c r="FP8" s="2699"/>
      <c r="FQ8" s="2699"/>
      <c r="FR8" s="2699"/>
      <c r="FS8" s="2699"/>
      <c r="FT8" s="2699"/>
      <c r="FU8" s="2699"/>
      <c r="FV8" s="2699"/>
      <c r="FW8" s="2700"/>
      <c r="FX8" s="1418"/>
    </row>
    <row s="37203" customFormat="1" customHeight="1" ht="11.25" hidden="1">
      <c r="B9" s="1295"/>
      <c r="F9" s="1418"/>
      <c r="G9" s="1124"/>
      <c r="H9" s="721"/>
      <c r="I9" s="721"/>
      <c r="J9" s="721"/>
      <c r="K9" s="721"/>
      <c r="L9" s="721"/>
      <c r="M9" s="1418"/>
      <c r="N9" s="1418"/>
      <c r="O9" s="1418"/>
      <c r="P9" s="1418"/>
      <c r="Q9" s="1418"/>
      <c r="R9" s="1418"/>
      <c r="S9" s="1418"/>
      <c r="T9" s="1418"/>
      <c r="U9" s="1418"/>
      <c r="V9" s="1418"/>
      <c r="W9" s="1418"/>
      <c r="X9" s="1418"/>
      <c r="Y9" s="1418"/>
      <c r="Z9" s="1418"/>
      <c r="AA9" s="1418"/>
      <c r="AB9" s="1418"/>
      <c r="AC9" s="1418"/>
      <c r="AD9" s="1418"/>
      <c r="AE9" s="1418"/>
      <c r="AF9" s="1418"/>
      <c r="AG9" s="1418"/>
      <c r="AH9" s="1418"/>
      <c r="AI9" s="1418"/>
      <c r="AJ9" s="1418"/>
      <c r="AK9" s="1418"/>
      <c r="AL9" s="1418"/>
      <c r="AM9" s="1418"/>
      <c r="AN9" s="1418"/>
      <c r="AO9" s="1418"/>
      <c r="AP9" s="1418"/>
      <c r="AQ9" s="1418"/>
      <c r="AR9" s="1418"/>
      <c r="AS9" s="1418"/>
      <c r="AT9" s="1418"/>
      <c r="AU9" s="1418"/>
      <c r="AV9" s="1418"/>
      <c r="AW9" s="1418"/>
      <c r="AX9" s="1418"/>
      <c r="AY9" s="1418"/>
      <c r="AZ9" s="1418"/>
      <c r="BA9" s="1418"/>
      <c r="BB9" s="1418"/>
      <c r="BC9" s="1418"/>
      <c r="BD9" s="1418"/>
      <c r="BE9" s="1418"/>
      <c r="BF9" s="1418"/>
      <c r="BG9" s="1418"/>
      <c r="BH9" s="1418"/>
      <c r="BI9" s="1418"/>
      <c r="BJ9" s="1418"/>
      <c r="BK9" s="1418"/>
      <c r="BL9" s="1418"/>
      <c r="BM9" s="1418"/>
      <c r="BN9" s="1418"/>
      <c r="BO9" s="1418"/>
      <c r="BP9" s="1418"/>
      <c r="BQ9" s="1418"/>
      <c r="BR9" s="1418"/>
      <c r="BS9" s="1418"/>
      <c r="BT9" s="1418"/>
      <c r="BU9" s="1418"/>
      <c r="BV9" s="1418"/>
      <c r="BW9" s="1418"/>
      <c r="BX9" s="1418"/>
      <c r="BY9" s="1418"/>
      <c r="BZ9" s="1418"/>
      <c r="CA9" s="1418"/>
      <c r="CB9" s="1418"/>
      <c r="CC9" s="1418"/>
      <c r="CD9" s="1418"/>
      <c r="CE9" s="1418"/>
      <c r="CF9" s="1418"/>
      <c r="CG9" s="1418"/>
      <c r="CH9" s="1418"/>
      <c r="CI9" s="1418"/>
      <c r="CJ9" s="1418"/>
      <c r="CK9" s="1418"/>
      <c r="CL9" s="1418"/>
      <c r="CM9" s="1418"/>
      <c r="CN9" s="1418"/>
      <c r="CO9" s="1418"/>
      <c r="CP9" s="1418"/>
      <c r="CQ9" s="1418"/>
      <c r="CR9" s="1418"/>
      <c r="CS9" s="1418"/>
      <c r="CT9" s="1418"/>
      <c r="CU9" s="1418"/>
      <c r="CV9" s="1418"/>
      <c r="CW9" s="1418"/>
      <c r="CX9" s="1418"/>
      <c r="CY9" s="1418"/>
      <c r="CZ9" s="1418"/>
      <c r="DA9" s="1418"/>
      <c r="DB9" s="1418"/>
      <c r="DC9" s="1418"/>
      <c r="DD9" s="1418"/>
      <c r="DE9" s="1418"/>
      <c r="DF9" s="1418"/>
      <c r="DG9" s="1418"/>
      <c r="DH9" s="1418"/>
      <c r="DI9" s="1418"/>
      <c r="DJ9" s="1418"/>
      <c r="DK9" s="1418"/>
      <c r="DL9" s="1418"/>
      <c r="DM9" s="1418"/>
      <c r="DN9" s="1418"/>
      <c r="DO9" s="1418"/>
      <c r="DP9" s="1418"/>
      <c r="DQ9" s="1418"/>
      <c r="DR9" s="1418"/>
      <c r="DS9" s="1418"/>
      <c r="DT9" s="1418"/>
      <c r="DU9" s="1418"/>
      <c r="DV9" s="1418"/>
      <c r="DW9" s="1418"/>
      <c r="DX9" s="1418"/>
      <c r="DY9" s="1418"/>
      <c r="DZ9" s="1418"/>
      <c r="EA9" s="1418"/>
      <c r="EB9" s="1418"/>
      <c r="EC9" s="1418"/>
      <c r="ED9" s="1418"/>
      <c r="EE9" s="1418"/>
      <c r="EF9" s="1418"/>
      <c r="EG9" s="1418"/>
      <c r="EH9" s="1418"/>
      <c r="EI9" s="1418"/>
      <c r="EJ9" s="1418"/>
      <c r="EK9" s="1418"/>
      <c r="EL9" s="1418"/>
      <c r="EM9" s="1418"/>
      <c r="EN9" s="1418"/>
      <c r="EO9" s="1418"/>
      <c r="EP9" s="1418"/>
      <c r="EQ9" s="1418"/>
      <c r="ER9" s="1418"/>
      <c r="ES9" s="1418"/>
      <c r="ET9" s="1418"/>
      <c r="EU9" s="1418"/>
      <c r="EV9" s="1418"/>
      <c r="EW9" s="1418"/>
      <c r="EX9" s="1418"/>
      <c r="EY9" s="1418"/>
      <c r="EZ9" s="1418"/>
      <c r="FA9" s="1418"/>
      <c r="FB9" s="1418"/>
      <c r="FC9" s="1418"/>
      <c r="FD9" s="1418"/>
      <c r="FE9" s="1418"/>
      <c r="FF9" s="1418"/>
      <c r="FG9" s="1418"/>
      <c r="FH9" s="1418"/>
      <c r="FI9" s="1418"/>
      <c r="FJ9" s="1418"/>
      <c r="FK9" s="1418"/>
      <c r="FL9" s="1418"/>
      <c r="FM9" s="1418"/>
      <c r="FN9" s="1418"/>
      <c r="FO9" s="1418"/>
      <c r="FP9" s="1418"/>
      <c r="FQ9" s="1418"/>
      <c r="FR9" s="1418"/>
      <c r="FS9" s="1418"/>
      <c r="FT9" s="1418"/>
      <c r="FU9" s="1418"/>
      <c r="FV9" s="1418"/>
      <c r="FW9" s="2701"/>
      <c r="FX9" s="1418"/>
    </row>
    <row s="37203" customFormat="1" customHeight="1" ht="11.25">
      <c r="B10" s="1295"/>
      <c r="F10" s="2715" t="s">
        <v>341</v>
      </c>
      <c r="G10" s="2716"/>
      <c r="H10" s="2716"/>
      <c r="I10" s="2716"/>
      <c r="J10" s="2716"/>
      <c r="K10" s="2716"/>
      <c r="L10" s="2716"/>
      <c r="M10" s="2716"/>
      <c r="N10" s="2716"/>
      <c r="O10" s="2716"/>
      <c r="P10" s="2716"/>
      <c r="Q10" s="2716"/>
      <c r="R10" s="2716"/>
      <c r="S10" s="2716"/>
      <c r="T10" s="2716"/>
      <c r="U10" s="2716"/>
      <c r="V10" s="2716"/>
      <c r="W10" s="2716"/>
      <c r="X10" s="2716"/>
      <c r="Y10" s="2716"/>
      <c r="Z10" s="2716"/>
      <c r="AA10" s="2716"/>
      <c r="AB10" s="2716"/>
      <c r="AC10" s="2716"/>
      <c r="AD10" s="2716"/>
      <c r="AE10" s="2716"/>
      <c r="AF10" s="2716"/>
      <c r="AG10" s="2716"/>
      <c r="AH10" s="2716"/>
      <c r="AI10" s="2716"/>
      <c r="AJ10" s="2716"/>
      <c r="AK10" s="2716"/>
      <c r="AL10" s="2716"/>
      <c r="AM10" s="2716"/>
      <c r="AN10" s="2716"/>
      <c r="AO10" s="2716"/>
      <c r="AP10" s="2716"/>
      <c r="AQ10" s="2716"/>
      <c r="AR10" s="2716"/>
      <c r="AS10" s="2716"/>
      <c r="AT10" s="2716"/>
      <c r="AU10" s="2716"/>
      <c r="AV10" s="2716"/>
      <c r="AW10" s="2716"/>
      <c r="AX10" s="2716"/>
      <c r="AY10" s="2716"/>
      <c r="AZ10" s="2716"/>
      <c r="BA10" s="2716"/>
      <c r="BB10" s="2716"/>
      <c r="BC10" s="2716"/>
      <c r="BD10" s="2716"/>
      <c r="BE10" s="2716"/>
      <c r="BF10" s="2716"/>
      <c r="BG10" s="2716"/>
      <c r="BH10" s="2716"/>
      <c r="BI10" s="2716"/>
      <c r="BJ10" s="2716"/>
      <c r="BK10" s="2716"/>
      <c r="BL10" s="2716"/>
      <c r="BM10" s="2716"/>
      <c r="BN10" s="2716"/>
      <c r="BO10" s="2716"/>
      <c r="BP10" s="2716"/>
      <c r="BQ10" s="2716"/>
      <c r="BR10" s="2716"/>
      <c r="BS10" s="2716"/>
      <c r="BT10" s="2716"/>
      <c r="BU10" s="2716"/>
      <c r="BV10" s="2716"/>
      <c r="BW10" s="2716"/>
      <c r="BX10" s="2716"/>
      <c r="BY10" s="2716"/>
      <c r="BZ10" s="2716"/>
      <c r="CA10" s="2716"/>
      <c r="CB10" s="2716"/>
      <c r="CC10" s="2716"/>
      <c r="CD10" s="2716"/>
      <c r="CE10" s="2716"/>
      <c r="CF10" s="2716"/>
      <c r="CG10" s="2716"/>
      <c r="CH10" s="2716"/>
      <c r="CI10" s="2716"/>
      <c r="CJ10" s="2716"/>
      <c r="CK10" s="2716"/>
      <c r="CL10" s="2716"/>
      <c r="CM10" s="2716"/>
      <c r="CN10" s="2716"/>
      <c r="CO10" s="2716"/>
      <c r="CP10" s="2716"/>
      <c r="CQ10" s="2716"/>
      <c r="CR10" s="2716"/>
      <c r="CS10" s="2716"/>
      <c r="CT10" s="2716"/>
      <c r="CU10" s="2716"/>
      <c r="CV10" s="2716"/>
      <c r="CW10" s="2716"/>
      <c r="CX10" s="2716"/>
      <c r="CY10" s="2716"/>
      <c r="CZ10" s="2716"/>
      <c r="DA10" s="2716"/>
      <c r="DB10" s="2716"/>
      <c r="DC10" s="2716"/>
      <c r="DD10" s="2716"/>
      <c r="DE10" s="2716"/>
      <c r="DF10" s="2716"/>
      <c r="DG10" s="2716"/>
      <c r="DH10" s="2716"/>
      <c r="DI10" s="2716"/>
      <c r="DJ10" s="2716"/>
      <c r="DK10" s="2716"/>
      <c r="DL10" s="2716"/>
      <c r="DM10" s="2716"/>
      <c r="DN10" s="2716"/>
      <c r="DO10" s="2716"/>
      <c r="DP10" s="2716"/>
      <c r="DQ10" s="2716"/>
      <c r="DR10" s="2716"/>
      <c r="DS10" s="2716"/>
      <c r="DT10" s="2716"/>
      <c r="DU10" s="2716"/>
      <c r="DV10" s="2716"/>
      <c r="DW10" s="2716"/>
      <c r="DX10" s="2716"/>
      <c r="DY10" s="2716"/>
      <c r="DZ10" s="2716"/>
      <c r="EA10" s="2716"/>
      <c r="EB10" s="2716"/>
      <c r="EC10" s="2716"/>
      <c r="ED10" s="2716"/>
      <c r="EE10" s="2716"/>
      <c r="EF10" s="2716"/>
      <c r="EG10" s="2716"/>
      <c r="EH10" s="2716"/>
      <c r="EI10" s="2716"/>
      <c r="EJ10" s="2716"/>
      <c r="EK10" s="2716"/>
      <c r="EL10" s="2716"/>
      <c r="EM10" s="2716"/>
      <c r="EN10" s="2716"/>
      <c r="EO10" s="2716"/>
      <c r="EP10" s="2716"/>
      <c r="EQ10" s="2716"/>
      <c r="ER10" s="2716"/>
      <c r="ES10" s="2716"/>
      <c r="ET10" s="2716"/>
      <c r="EU10" s="2716"/>
      <c r="EV10" s="2716"/>
      <c r="EW10" s="2716"/>
      <c r="EX10" s="2716"/>
      <c r="EY10" s="2716"/>
      <c r="EZ10" s="2716"/>
      <c r="FA10" s="2716"/>
      <c r="FB10" s="2716"/>
      <c r="FC10" s="2716"/>
      <c r="FD10" s="2716"/>
      <c r="FE10" s="2716"/>
      <c r="FF10" s="2716"/>
      <c r="FG10" s="2716"/>
      <c r="FH10" s="2716"/>
      <c r="FI10" s="2716"/>
      <c r="FJ10" s="2716"/>
      <c r="FK10" s="2716"/>
      <c r="FL10" s="2716"/>
      <c r="FM10" s="2716"/>
      <c r="FN10" s="2716"/>
      <c r="FO10" s="2716"/>
      <c r="FP10" s="2716"/>
      <c r="FQ10" s="2716"/>
      <c r="FR10" s="2716"/>
      <c r="FS10" s="2716"/>
      <c r="FT10" s="2716"/>
      <c r="FU10" s="2716"/>
      <c r="FV10" s="2717"/>
      <c r="FW10" s="2701"/>
      <c r="FX10" s="1418"/>
    </row>
    <row customHeight="1" ht="12">
      <c r="E11" s="1298"/>
      <c r="F11" s="2478" t="s">
        <v>87</v>
      </c>
      <c r="G11" s="2478" t="s">
        <v>1032</v>
      </c>
      <c r="H11" s="2714" t="s">
        <v>1033</v>
      </c>
      <c r="I11" s="2714" t="s">
        <v>1034</v>
      </c>
      <c r="J11" s="2713"/>
      <c r="K11" s="2713"/>
      <c r="L11" s="2713"/>
      <c r="M11" s="2713"/>
      <c r="N11" s="2713"/>
      <c r="O11" s="2482" t="s">
        <v>1035</v>
      </c>
      <c r="P11" s="2482"/>
      <c r="Q11" s="2482"/>
      <c r="R11" s="2482"/>
      <c r="S11" s="2482"/>
      <c r="T11" s="2482"/>
      <c r="U11" s="2482"/>
      <c r="V11" s="2482"/>
      <c r="W11" s="2482"/>
      <c r="X11" s="2482"/>
      <c r="Y11" s="2482"/>
      <c r="Z11" s="2482"/>
      <c r="AA11" s="2482"/>
      <c r="AB11" s="2482"/>
      <c r="AC11" s="2695"/>
      <c r="AD11" s="2695"/>
      <c r="AE11" s="2695"/>
      <c r="AF11" s="2695"/>
      <c r="AG11" s="2695"/>
      <c r="AH11" s="2695"/>
      <c r="AI11" s="2695"/>
      <c r="AJ11" s="2695"/>
      <c r="AK11" s="2695"/>
      <c r="AL11" s="2695"/>
      <c r="AM11" s="2695"/>
      <c r="AN11" s="2695"/>
      <c r="AO11" s="2695"/>
      <c r="AP11" s="2695"/>
      <c r="AQ11" s="2695"/>
      <c r="AR11" s="2695"/>
      <c r="AS11" s="2695"/>
      <c r="AT11" s="2695"/>
      <c r="AU11" s="2695"/>
      <c r="AV11" s="2695"/>
      <c r="AW11" s="2695"/>
      <c r="AX11" s="2695"/>
      <c r="AY11" s="2695"/>
      <c r="AZ11" s="2695"/>
      <c r="BA11" s="2695"/>
      <c r="BB11" s="2695"/>
      <c r="BC11" s="2695"/>
      <c r="BD11" s="2695"/>
      <c r="BE11" s="2695"/>
      <c r="BF11" s="2695"/>
      <c r="BG11" s="2695"/>
      <c r="BH11" s="2695"/>
      <c r="BI11" s="2695"/>
      <c r="BJ11" s="2695"/>
      <c r="BK11" s="2695"/>
      <c r="BL11" s="2695"/>
      <c r="BM11" s="2695"/>
      <c r="BN11" s="2695"/>
      <c r="BO11" s="2695"/>
      <c r="BP11" s="2695"/>
      <c r="BQ11" s="2695"/>
      <c r="BR11" s="2695"/>
      <c r="BS11" s="2696"/>
      <c r="BT11" s="2693" t="s">
        <v>1035</v>
      </c>
      <c r="BU11" s="2697"/>
      <c r="BV11" s="2697"/>
      <c r="BW11" s="2697"/>
      <c r="BX11" s="2697"/>
      <c r="BY11" s="2697"/>
      <c r="BZ11" s="2697"/>
      <c r="CA11" s="2697"/>
      <c r="CB11" s="2697"/>
      <c r="CC11" s="2697"/>
      <c r="CD11" s="2697"/>
      <c r="CE11" s="2697"/>
      <c r="CF11" s="2697"/>
      <c r="CG11" s="2697"/>
      <c r="CH11" s="2697"/>
      <c r="CI11" s="2697"/>
      <c r="CJ11" s="2697"/>
      <c r="CK11" s="2694"/>
      <c r="CL11" s="2703"/>
      <c r="CM11" s="2695"/>
      <c r="CN11" s="2695"/>
      <c r="CO11" s="2695"/>
      <c r="CP11" s="2695"/>
      <c r="CQ11" s="2695"/>
      <c r="CR11" s="2695"/>
      <c r="CS11" s="2695"/>
      <c r="CT11" s="2695"/>
      <c r="CU11" s="2695"/>
      <c r="CV11" s="2695"/>
      <c r="CW11" s="2695"/>
      <c r="CX11" s="2696"/>
      <c r="CY11" s="2693" t="s">
        <v>1035</v>
      </c>
      <c r="CZ11" s="2697"/>
      <c r="DA11" s="2697"/>
      <c r="DB11" s="2697"/>
      <c r="DC11" s="2697"/>
      <c r="DD11" s="2697"/>
      <c r="DE11" s="2697"/>
      <c r="DF11" s="2697"/>
      <c r="DG11" s="2697"/>
      <c r="DH11" s="2697"/>
      <c r="DI11" s="2697"/>
      <c r="DJ11" s="2694"/>
      <c r="DK11" s="2703"/>
      <c r="DL11" s="2695"/>
      <c r="DM11" s="2695"/>
      <c r="DN11" s="2695"/>
      <c r="DO11" s="2695"/>
      <c r="DP11" s="2695"/>
      <c r="DQ11" s="2695"/>
      <c r="DR11" s="2695"/>
      <c r="DS11" s="2695"/>
      <c r="DT11" s="2695"/>
      <c r="DU11" s="2695"/>
      <c r="DV11" s="2695"/>
      <c r="DW11" s="2695"/>
      <c r="DX11" s="2695"/>
      <c r="DY11" s="2695"/>
      <c r="DZ11" s="2695"/>
      <c r="EA11" s="2695"/>
      <c r="EB11" s="2695"/>
      <c r="EC11" s="2695"/>
      <c r="ED11" s="2695"/>
      <c r="EE11" s="2695"/>
      <c r="EF11" s="2695"/>
      <c r="EG11" s="2695"/>
      <c r="EH11" s="2695"/>
      <c r="EI11" s="2695"/>
      <c r="EJ11" s="2695"/>
      <c r="EK11" s="2695"/>
      <c r="EL11" s="2695"/>
      <c r="EM11" s="2695"/>
      <c r="EN11" s="2695"/>
      <c r="EO11" s="2695"/>
      <c r="EP11" s="2695"/>
      <c r="EQ11" s="2695"/>
      <c r="ER11" s="2695"/>
      <c r="ES11" s="2695"/>
      <c r="ET11" s="2695"/>
      <c r="EU11" s="2695"/>
      <c r="EV11" s="2695"/>
      <c r="EW11" s="2695"/>
      <c r="EX11" s="2695"/>
      <c r="EY11" s="2695"/>
      <c r="EZ11" s="2695"/>
      <c r="FA11" s="2695"/>
      <c r="FB11" s="2695"/>
      <c r="FC11" s="2695"/>
      <c r="FD11" s="2695"/>
      <c r="FE11" s="2695"/>
      <c r="FF11" s="2695"/>
      <c r="FG11" s="2695"/>
      <c r="FH11" s="2695"/>
      <c r="FI11" s="2695"/>
      <c r="FJ11" s="2695"/>
      <c r="FK11" s="2695"/>
      <c r="FL11" s="2695"/>
      <c r="FM11" s="2695"/>
      <c r="FN11" s="2695"/>
      <c r="FO11" s="2695"/>
      <c r="FP11" s="2695"/>
      <c r="FQ11" s="2695"/>
      <c r="FR11" s="2695"/>
      <c r="FS11" s="2695"/>
      <c r="FT11" s="2695"/>
      <c r="FU11" s="2695"/>
      <c r="FV11" s="2695"/>
      <c r="FW11" s="2701"/>
      <c r="FX11" s="1123"/>
    </row>
    <row customHeight="1" ht="12">
      <c r="D12" s="1299"/>
      <c r="E12" s="1298"/>
      <c r="F12" s="2478"/>
      <c r="G12" s="2478"/>
      <c r="H12" s="2714"/>
      <c r="I12" s="2714"/>
      <c r="J12" s="2713"/>
      <c r="K12" s="2713"/>
      <c r="L12" s="2713"/>
      <c r="M12" s="2713"/>
      <c r="N12" s="2713"/>
      <c r="O12" s="2482" t="s">
        <v>1036</v>
      </c>
      <c r="P12" s="2482"/>
      <c r="Q12" s="2482"/>
      <c r="R12" s="2482"/>
      <c r="S12" s="2482" t="s">
        <v>1037</v>
      </c>
      <c r="T12" s="2482"/>
      <c r="U12" s="2482"/>
      <c r="V12" s="2482"/>
      <c r="W12" s="2482"/>
      <c r="X12" s="2482"/>
      <c r="Y12" s="2482"/>
      <c r="Z12" s="2482"/>
      <c r="AA12" s="2482"/>
      <c r="AB12" s="2482"/>
      <c r="AC12" s="2695"/>
      <c r="AD12" s="2695"/>
      <c r="AE12" s="2695"/>
      <c r="AF12" s="2695"/>
      <c r="AG12" s="2695"/>
      <c r="AH12" s="2695"/>
      <c r="AI12" s="2695"/>
      <c r="AJ12" s="2695"/>
      <c r="AK12" s="2695"/>
      <c r="AL12" s="2695"/>
      <c r="AM12" s="2695"/>
      <c r="AN12" s="2695"/>
      <c r="AO12" s="2695"/>
      <c r="AP12" s="2695"/>
      <c r="AQ12" s="2695"/>
      <c r="AR12" s="2695"/>
      <c r="AS12" s="2695"/>
      <c r="AT12" s="2695"/>
      <c r="AU12" s="2695"/>
      <c r="AV12" s="2695"/>
      <c r="AW12" s="2695"/>
      <c r="AX12" s="2695"/>
      <c r="AY12" s="2695"/>
      <c r="AZ12" s="2695"/>
      <c r="BA12" s="2695"/>
      <c r="BB12" s="2695"/>
      <c r="BC12" s="2695"/>
      <c r="BD12" s="2695"/>
      <c r="BE12" s="2695"/>
      <c r="BF12" s="2695"/>
      <c r="BG12" s="2695"/>
      <c r="BH12" s="2695"/>
      <c r="BI12" s="2695"/>
      <c r="BJ12" s="2695"/>
      <c r="BK12" s="2695"/>
      <c r="BL12" s="2695"/>
      <c r="BM12" s="2695"/>
      <c r="BN12" s="2695"/>
      <c r="BO12" s="2695"/>
      <c r="BP12" s="2695"/>
      <c r="BQ12" s="2695"/>
      <c r="BR12" s="2695"/>
      <c r="BS12" s="2696"/>
      <c r="BT12" s="2693" t="s">
        <v>1038</v>
      </c>
      <c r="BU12" s="2697"/>
      <c r="BV12" s="2697"/>
      <c r="BW12" s="2694"/>
      <c r="BX12" s="2693" t="s">
        <v>1039</v>
      </c>
      <c r="BY12" s="2697"/>
      <c r="BZ12" s="2697"/>
      <c r="CA12" s="2694"/>
      <c r="CB12" s="2693" t="s">
        <v>1040</v>
      </c>
      <c r="CC12" s="2694"/>
      <c r="CD12" s="2693" t="s">
        <v>1041</v>
      </c>
      <c r="CE12" s="2697"/>
      <c r="CF12" s="2697"/>
      <c r="CG12" s="2697"/>
      <c r="CH12" s="2697"/>
      <c r="CI12" s="2697"/>
      <c r="CJ12" s="2697"/>
      <c r="CK12" s="2694"/>
      <c r="CL12" s="2703"/>
      <c r="CM12" s="2695"/>
      <c r="CN12" s="2695"/>
      <c r="CO12" s="2695"/>
      <c r="CP12" s="2695"/>
      <c r="CQ12" s="2695"/>
      <c r="CR12" s="2695"/>
      <c r="CS12" s="2695"/>
      <c r="CT12" s="2695"/>
      <c r="CU12" s="2695"/>
      <c r="CV12" s="2695"/>
      <c r="CW12" s="2695"/>
      <c r="CX12" s="2696"/>
      <c r="CY12" s="2693" t="s">
        <v>1042</v>
      </c>
      <c r="CZ12" s="2697"/>
      <c r="DA12" s="2697"/>
      <c r="DB12" s="2697"/>
      <c r="DC12" s="2697"/>
      <c r="DD12" s="2694"/>
      <c r="DE12" s="2693" t="s">
        <v>1043</v>
      </c>
      <c r="DF12" s="2694"/>
      <c r="DG12" s="2693" t="s">
        <v>1041</v>
      </c>
      <c r="DH12" s="2697"/>
      <c r="DI12" s="2697"/>
      <c r="DJ12" s="2694"/>
      <c r="DK12" s="2703"/>
      <c r="DL12" s="2695"/>
      <c r="DM12" s="2695"/>
      <c r="DN12" s="2695"/>
      <c r="DO12" s="2695"/>
      <c r="DP12" s="2695"/>
      <c r="DQ12" s="2695"/>
      <c r="DR12" s="2695"/>
      <c r="DS12" s="2695"/>
      <c r="DT12" s="2695"/>
      <c r="DU12" s="2695"/>
      <c r="DV12" s="2695"/>
      <c r="DW12" s="2695"/>
      <c r="DX12" s="2695"/>
      <c r="DY12" s="2695"/>
      <c r="DZ12" s="2695"/>
      <c r="EA12" s="2695"/>
      <c r="EB12" s="2695"/>
      <c r="EC12" s="2695"/>
      <c r="ED12" s="2695"/>
      <c r="EE12" s="2695"/>
      <c r="EF12" s="2695"/>
      <c r="EG12" s="2695"/>
      <c r="EH12" s="2695"/>
      <c r="EI12" s="2695"/>
      <c r="EJ12" s="2695"/>
      <c r="EK12" s="2695"/>
      <c r="EL12" s="2695"/>
      <c r="EM12" s="2695"/>
      <c r="EN12" s="2695"/>
      <c r="EO12" s="2695"/>
      <c r="EP12" s="2695"/>
      <c r="EQ12" s="2695"/>
      <c r="ER12" s="2695"/>
      <c r="ES12" s="2695"/>
      <c r="ET12" s="2695"/>
      <c r="EU12" s="2695"/>
      <c r="EV12" s="2695"/>
      <c r="EW12" s="2695"/>
      <c r="EX12" s="2695"/>
      <c r="EY12" s="2695"/>
      <c r="EZ12" s="2695"/>
      <c r="FA12" s="2695"/>
      <c r="FB12" s="2695"/>
      <c r="FC12" s="2695"/>
      <c r="FD12" s="2695"/>
      <c r="FE12" s="2695"/>
      <c r="FF12" s="2695"/>
      <c r="FG12" s="2695"/>
      <c r="FH12" s="2695"/>
      <c r="FI12" s="2695"/>
      <c r="FJ12" s="2695"/>
      <c r="FK12" s="2695"/>
      <c r="FL12" s="2695"/>
      <c r="FM12" s="2695"/>
      <c r="FN12" s="2695"/>
      <c r="FO12" s="2695"/>
      <c r="FP12" s="2695"/>
      <c r="FQ12" s="2695"/>
      <c r="FR12" s="2695"/>
      <c r="FS12" s="2695"/>
      <c r="FT12" s="2695"/>
      <c r="FU12" s="2695"/>
      <c r="FV12" s="2695"/>
      <c r="FW12" s="2701"/>
      <c r="FX12" s="1123"/>
    </row>
    <row customHeight="1" ht="36">
      <c r="D13" s="1299"/>
      <c r="E13" s="1298"/>
      <c r="F13" s="2478"/>
      <c r="G13" s="2478"/>
      <c r="H13" s="2714"/>
      <c r="I13" s="2714"/>
      <c r="J13" s="2713"/>
      <c r="K13" s="2713"/>
      <c r="L13" s="2713"/>
      <c r="M13" s="2713"/>
      <c r="N13" s="2713"/>
      <c r="O13" s="2482" t="s">
        <v>1044</v>
      </c>
      <c r="P13" s="2482"/>
      <c r="Q13" s="2482"/>
      <c r="R13" s="2482"/>
      <c r="S13" s="2609" t="s">
        <v>1045</v>
      </c>
      <c r="T13" s="2691"/>
      <c r="U13" s="2392" t="s">
        <v>1046</v>
      </c>
      <c r="V13" s="2392"/>
      <c r="W13" s="2392"/>
      <c r="X13" s="2392"/>
      <c r="Y13" s="2392" t="s">
        <v>1047</v>
      </c>
      <c r="Z13" s="2392"/>
      <c r="AA13" s="2392"/>
      <c r="AB13" s="2392"/>
      <c r="AC13" s="2695"/>
      <c r="AD13" s="2695"/>
      <c r="AE13" s="2695"/>
      <c r="AF13" s="2695"/>
      <c r="AG13" s="2695"/>
      <c r="AH13" s="2695"/>
      <c r="AI13" s="2695"/>
      <c r="AJ13" s="2695"/>
      <c r="AK13" s="2695"/>
      <c r="AL13" s="2695"/>
      <c r="AM13" s="2695"/>
      <c r="AN13" s="2695"/>
      <c r="AO13" s="2695"/>
      <c r="AP13" s="2695"/>
      <c r="AQ13" s="2695"/>
      <c r="AR13" s="2695"/>
      <c r="AS13" s="2695"/>
      <c r="AT13" s="2695"/>
      <c r="AU13" s="2695"/>
      <c r="AV13" s="2695"/>
      <c r="AW13" s="2695"/>
      <c r="AX13" s="2695"/>
      <c r="AY13" s="2695"/>
      <c r="AZ13" s="2695"/>
      <c r="BA13" s="2695"/>
      <c r="BB13" s="2695"/>
      <c r="BC13" s="2695"/>
      <c r="BD13" s="2695"/>
      <c r="BE13" s="2695"/>
      <c r="BF13" s="2695"/>
      <c r="BG13" s="2695"/>
      <c r="BH13" s="2695"/>
      <c r="BI13" s="2695"/>
      <c r="BJ13" s="2695"/>
      <c r="BK13" s="2695"/>
      <c r="BL13" s="2695"/>
      <c r="BM13" s="2695"/>
      <c r="BN13" s="2695"/>
      <c r="BO13" s="2695"/>
      <c r="BP13" s="2695"/>
      <c r="BQ13" s="2695"/>
      <c r="BR13" s="2695"/>
      <c r="BS13" s="2696"/>
      <c r="BT13" s="2609" t="s">
        <v>1048</v>
      </c>
      <c r="BU13" s="2691"/>
      <c r="BV13" s="2609" t="s">
        <v>1049</v>
      </c>
      <c r="BW13" s="2691"/>
      <c r="BX13" s="2609" t="s">
        <v>1050</v>
      </c>
      <c r="BY13" s="2691"/>
      <c r="BZ13" s="2609" t="s">
        <v>1051</v>
      </c>
      <c r="CA13" s="2691"/>
      <c r="CB13" s="2609" t="s">
        <v>1052</v>
      </c>
      <c r="CC13" s="2691"/>
      <c r="CD13" s="2609" t="s">
        <v>1053</v>
      </c>
      <c r="CE13" s="2691"/>
      <c r="CF13" s="2609" t="s">
        <v>1054</v>
      </c>
      <c r="CG13" s="2691"/>
      <c r="CH13" s="2693" t="s">
        <v>1055</v>
      </c>
      <c r="CI13" s="2697"/>
      <c r="CJ13" s="2697"/>
      <c r="CK13" s="2694"/>
      <c r="CL13" s="2703"/>
      <c r="CM13" s="2695"/>
      <c r="CN13" s="2695"/>
      <c r="CO13" s="2695"/>
      <c r="CP13" s="2695"/>
      <c r="CQ13" s="2695"/>
      <c r="CR13" s="2695"/>
      <c r="CS13" s="2695"/>
      <c r="CT13" s="2695"/>
      <c r="CU13" s="2695"/>
      <c r="CV13" s="2695"/>
      <c r="CW13" s="2695"/>
      <c r="CX13" s="2696"/>
      <c r="CY13" s="2609" t="s">
        <v>1056</v>
      </c>
      <c r="CZ13" s="2691"/>
      <c r="DA13" s="2609" t="s">
        <v>1057</v>
      </c>
      <c r="DB13" s="2691"/>
      <c r="DC13" s="2609" t="s">
        <v>1058</v>
      </c>
      <c r="DD13" s="2691"/>
      <c r="DE13" s="2609" t="s">
        <v>1059</v>
      </c>
      <c r="DF13" s="2691"/>
      <c r="DG13" s="2693" t="s">
        <v>1060</v>
      </c>
      <c r="DH13" s="2697"/>
      <c r="DI13" s="2697"/>
      <c r="DJ13" s="2694"/>
      <c r="DK13" s="2703"/>
      <c r="DL13" s="2695"/>
      <c r="DM13" s="2695"/>
      <c r="DN13" s="2695"/>
      <c r="DO13" s="2695"/>
      <c r="DP13" s="2695"/>
      <c r="DQ13" s="2695"/>
      <c r="DR13" s="2695"/>
      <c r="DS13" s="2695"/>
      <c r="DT13" s="2695"/>
      <c r="DU13" s="2695"/>
      <c r="DV13" s="2695"/>
      <c r="DW13" s="2695"/>
      <c r="DX13" s="2695"/>
      <c r="DY13" s="2695"/>
      <c r="DZ13" s="2695"/>
      <c r="EA13" s="2695"/>
      <c r="EB13" s="2695"/>
      <c r="EC13" s="2695"/>
      <c r="ED13" s="2695"/>
      <c r="EE13" s="2695"/>
      <c r="EF13" s="2695"/>
      <c r="EG13" s="2695"/>
      <c r="EH13" s="2695"/>
      <c r="EI13" s="2695"/>
      <c r="EJ13" s="2695"/>
      <c r="EK13" s="2695"/>
      <c r="EL13" s="2695"/>
      <c r="EM13" s="2695"/>
      <c r="EN13" s="2695"/>
      <c r="EO13" s="2695"/>
      <c r="EP13" s="2695"/>
      <c r="EQ13" s="2695"/>
      <c r="ER13" s="2695"/>
      <c r="ES13" s="2695"/>
      <c r="ET13" s="2695"/>
      <c r="EU13" s="2695"/>
      <c r="EV13" s="2695"/>
      <c r="EW13" s="2695"/>
      <c r="EX13" s="2695"/>
      <c r="EY13" s="2695"/>
      <c r="EZ13" s="2695"/>
      <c r="FA13" s="2695"/>
      <c r="FB13" s="2695"/>
      <c r="FC13" s="2695"/>
      <c r="FD13" s="2695"/>
      <c r="FE13" s="2695"/>
      <c r="FF13" s="2695"/>
      <c r="FG13" s="2695"/>
      <c r="FH13" s="2695"/>
      <c r="FI13" s="2695"/>
      <c r="FJ13" s="2695"/>
      <c r="FK13" s="2695"/>
      <c r="FL13" s="2695"/>
      <c r="FM13" s="2695"/>
      <c r="FN13" s="2695"/>
      <c r="FO13" s="2695"/>
      <c r="FP13" s="2695"/>
      <c r="FQ13" s="2695"/>
      <c r="FR13" s="2695"/>
      <c r="FS13" s="2695"/>
      <c r="FT13" s="2695"/>
      <c r="FU13" s="2695"/>
      <c r="FV13" s="2695"/>
      <c r="FW13" s="2701"/>
      <c r="FX13" s="1123"/>
    </row>
    <row customHeight="1" ht="36">
      <c r="D14" s="1299"/>
      <c r="E14" s="1298"/>
      <c r="F14" s="2478"/>
      <c r="G14" s="2478"/>
      <c r="H14" s="2714"/>
      <c r="I14" s="2714"/>
      <c r="J14" s="2713"/>
      <c r="K14" s="2713"/>
      <c r="L14" s="2713"/>
      <c r="M14" s="2713"/>
      <c r="N14" s="2713"/>
      <c r="O14" s="2609" t="s">
        <v>1061</v>
      </c>
      <c r="P14" s="2691"/>
      <c r="Q14" s="2609" t="s">
        <v>1062</v>
      </c>
      <c r="R14" s="2691"/>
      <c r="S14" s="2610"/>
      <c r="T14" s="2486"/>
      <c r="U14" s="2609" t="s">
        <v>791</v>
      </c>
      <c r="V14" s="2691"/>
      <c r="W14" s="2609" t="s">
        <v>794</v>
      </c>
      <c r="X14" s="2691"/>
      <c r="Y14" s="2609" t="s">
        <v>791</v>
      </c>
      <c r="Z14" s="2691"/>
      <c r="AA14" s="2609" t="s">
        <v>801</v>
      </c>
      <c r="AB14" s="2691"/>
      <c r="AC14" s="2695"/>
      <c r="AD14" s="2695"/>
      <c r="AE14" s="2695"/>
      <c r="AF14" s="2695"/>
      <c r="AG14" s="2695"/>
      <c r="AH14" s="2695"/>
      <c r="AI14" s="2695"/>
      <c r="AJ14" s="2695"/>
      <c r="AK14" s="2695"/>
      <c r="AL14" s="2695"/>
      <c r="AM14" s="2695"/>
      <c r="AN14" s="2695"/>
      <c r="AO14" s="2695"/>
      <c r="AP14" s="2695"/>
      <c r="AQ14" s="2695"/>
      <c r="AR14" s="2695"/>
      <c r="AS14" s="2695"/>
      <c r="AT14" s="2695"/>
      <c r="AU14" s="2695"/>
      <c r="AV14" s="2695"/>
      <c r="AW14" s="2695"/>
      <c r="AX14" s="2695"/>
      <c r="AY14" s="2695"/>
      <c r="AZ14" s="2695"/>
      <c r="BA14" s="2695"/>
      <c r="BB14" s="2695"/>
      <c r="BC14" s="2695"/>
      <c r="BD14" s="2695"/>
      <c r="BE14" s="2695"/>
      <c r="BF14" s="2695"/>
      <c r="BG14" s="2695"/>
      <c r="BH14" s="2695"/>
      <c r="BI14" s="2695"/>
      <c r="BJ14" s="2695"/>
      <c r="BK14" s="2695"/>
      <c r="BL14" s="2695"/>
      <c r="BM14" s="2695"/>
      <c r="BN14" s="2695"/>
      <c r="BO14" s="2695"/>
      <c r="BP14" s="2695"/>
      <c r="BQ14" s="2695"/>
      <c r="BR14" s="2695"/>
      <c r="BS14" s="2696"/>
      <c r="BT14" s="2610"/>
      <c r="BU14" s="2486"/>
      <c r="BV14" s="2610"/>
      <c r="BW14" s="2486"/>
      <c r="BX14" s="2610"/>
      <c r="BY14" s="2486"/>
      <c r="BZ14" s="2610"/>
      <c r="CA14" s="2486"/>
      <c r="CB14" s="2610"/>
      <c r="CC14" s="2486"/>
      <c r="CD14" s="2610"/>
      <c r="CE14" s="2486"/>
      <c r="CF14" s="2610"/>
      <c r="CG14" s="2486"/>
      <c r="CH14" s="2609" t="s">
        <v>1063</v>
      </c>
      <c r="CI14" s="2691"/>
      <c r="CJ14" s="2609" t="s">
        <v>1064</v>
      </c>
      <c r="CK14" s="2691"/>
      <c r="CL14" s="2703"/>
      <c r="CM14" s="2695"/>
      <c r="CN14" s="2695"/>
      <c r="CO14" s="2695"/>
      <c r="CP14" s="2695"/>
      <c r="CQ14" s="2695"/>
      <c r="CR14" s="2695"/>
      <c r="CS14" s="2695"/>
      <c r="CT14" s="2695"/>
      <c r="CU14" s="2695"/>
      <c r="CV14" s="2695"/>
      <c r="CW14" s="2695"/>
      <c r="CX14" s="2696"/>
      <c r="CY14" s="2610"/>
      <c r="CZ14" s="2486"/>
      <c r="DA14" s="2610"/>
      <c r="DB14" s="2486"/>
      <c r="DC14" s="2610"/>
      <c r="DD14" s="2486"/>
      <c r="DE14" s="2610"/>
      <c r="DF14" s="2486"/>
      <c r="DG14" s="2609" t="s">
        <v>1065</v>
      </c>
      <c r="DH14" s="2691"/>
      <c r="DI14" s="2609" t="s">
        <v>1066</v>
      </c>
      <c r="DJ14" s="2691"/>
      <c r="DK14" s="2703"/>
      <c r="DL14" s="2695"/>
      <c r="DM14" s="2695"/>
      <c r="DN14" s="2695"/>
      <c r="DO14" s="2695"/>
      <c r="DP14" s="2695"/>
      <c r="DQ14" s="2695"/>
      <c r="DR14" s="2695"/>
      <c r="DS14" s="2695"/>
      <c r="DT14" s="2695"/>
      <c r="DU14" s="2695"/>
      <c r="DV14" s="2695"/>
      <c r="DW14" s="2695"/>
      <c r="DX14" s="2695"/>
      <c r="DY14" s="2695"/>
      <c r="DZ14" s="2695"/>
      <c r="EA14" s="2695"/>
      <c r="EB14" s="2695"/>
      <c r="EC14" s="2695"/>
      <c r="ED14" s="2695"/>
      <c r="EE14" s="2695"/>
      <c r="EF14" s="2695"/>
      <c r="EG14" s="2695"/>
      <c r="EH14" s="2695"/>
      <c r="EI14" s="2695"/>
      <c r="EJ14" s="2695"/>
      <c r="EK14" s="2695"/>
      <c r="EL14" s="2695"/>
      <c r="EM14" s="2695"/>
      <c r="EN14" s="2695"/>
      <c r="EO14" s="2695"/>
      <c r="EP14" s="2695"/>
      <c r="EQ14" s="2695"/>
      <c r="ER14" s="2695"/>
      <c r="ES14" s="2695"/>
      <c r="ET14" s="2695"/>
      <c r="EU14" s="2695"/>
      <c r="EV14" s="2695"/>
      <c r="EW14" s="2695"/>
      <c r="EX14" s="2695"/>
      <c r="EY14" s="2695"/>
      <c r="EZ14" s="2695"/>
      <c r="FA14" s="2695"/>
      <c r="FB14" s="2695"/>
      <c r="FC14" s="2695"/>
      <c r="FD14" s="2695"/>
      <c r="FE14" s="2695"/>
      <c r="FF14" s="2695"/>
      <c r="FG14" s="2695"/>
      <c r="FH14" s="2695"/>
      <c r="FI14" s="2695"/>
      <c r="FJ14" s="2695"/>
      <c r="FK14" s="2695"/>
      <c r="FL14" s="2695"/>
      <c r="FM14" s="2695"/>
      <c r="FN14" s="2695"/>
      <c r="FO14" s="2695"/>
      <c r="FP14" s="2695"/>
      <c r="FQ14" s="2695"/>
      <c r="FR14" s="2695"/>
      <c r="FS14" s="2695"/>
      <c r="FT14" s="2695"/>
      <c r="FU14" s="2695"/>
      <c r="FV14" s="2695"/>
      <c r="FW14" s="2701"/>
      <c r="FX14" s="1123"/>
    </row>
    <row customHeight="1" ht="36">
      <c r="D15" s="1299"/>
      <c r="E15" s="1298"/>
      <c r="F15" s="2478"/>
      <c r="G15" s="2478"/>
      <c r="H15" s="2714"/>
      <c r="I15" s="2714"/>
      <c r="J15" s="2713"/>
      <c r="K15" s="2713"/>
      <c r="L15" s="2713"/>
      <c r="M15" s="2713"/>
      <c r="N15" s="2713"/>
      <c r="O15" s="2611"/>
      <c r="P15" s="2692"/>
      <c r="Q15" s="2611"/>
      <c r="R15" s="2692"/>
      <c r="S15" s="2611"/>
      <c r="T15" s="2692"/>
      <c r="U15" s="2611"/>
      <c r="V15" s="2692"/>
      <c r="W15" s="2611"/>
      <c r="X15" s="2692"/>
      <c r="Y15" s="2611"/>
      <c r="Z15" s="2692"/>
      <c r="AA15" s="2611"/>
      <c r="AB15" s="2692"/>
      <c r="AC15" s="2695"/>
      <c r="AD15" s="2695"/>
      <c r="AE15" s="2695"/>
      <c r="AF15" s="2695"/>
      <c r="AG15" s="2695"/>
      <c r="AH15" s="2695"/>
      <c r="AI15" s="2695"/>
      <c r="AJ15" s="2695"/>
      <c r="AK15" s="2695"/>
      <c r="AL15" s="2695"/>
      <c r="AM15" s="2695"/>
      <c r="AN15" s="2695"/>
      <c r="AO15" s="2695"/>
      <c r="AP15" s="2695"/>
      <c r="AQ15" s="2695"/>
      <c r="AR15" s="2695"/>
      <c r="AS15" s="2695"/>
      <c r="AT15" s="2695"/>
      <c r="AU15" s="2695"/>
      <c r="AV15" s="2695"/>
      <c r="AW15" s="2695"/>
      <c r="AX15" s="2695"/>
      <c r="AY15" s="2695"/>
      <c r="AZ15" s="2695"/>
      <c r="BA15" s="2695"/>
      <c r="BB15" s="2695"/>
      <c r="BC15" s="2695"/>
      <c r="BD15" s="2695"/>
      <c r="BE15" s="2695"/>
      <c r="BF15" s="2695"/>
      <c r="BG15" s="2695"/>
      <c r="BH15" s="2695"/>
      <c r="BI15" s="2695"/>
      <c r="BJ15" s="2695"/>
      <c r="BK15" s="2695"/>
      <c r="BL15" s="2695"/>
      <c r="BM15" s="2695"/>
      <c r="BN15" s="2695"/>
      <c r="BO15" s="2695"/>
      <c r="BP15" s="2695"/>
      <c r="BQ15" s="2695"/>
      <c r="BR15" s="2695"/>
      <c r="BS15" s="2696"/>
      <c r="BT15" s="2611"/>
      <c r="BU15" s="2692"/>
      <c r="BV15" s="2611"/>
      <c r="BW15" s="2692"/>
      <c r="BX15" s="2611"/>
      <c r="BY15" s="2692"/>
      <c r="BZ15" s="2611"/>
      <c r="CA15" s="2692"/>
      <c r="CB15" s="2611"/>
      <c r="CC15" s="2692"/>
      <c r="CD15" s="2611"/>
      <c r="CE15" s="2692"/>
      <c r="CF15" s="2611"/>
      <c r="CG15" s="2692"/>
      <c r="CH15" s="2611"/>
      <c r="CI15" s="2692"/>
      <c r="CJ15" s="2611"/>
      <c r="CK15" s="2692"/>
      <c r="CL15" s="2703"/>
      <c r="CM15" s="2695"/>
      <c r="CN15" s="2695"/>
      <c r="CO15" s="2695"/>
      <c r="CP15" s="2695"/>
      <c r="CQ15" s="2695"/>
      <c r="CR15" s="2695"/>
      <c r="CS15" s="2695"/>
      <c r="CT15" s="2695"/>
      <c r="CU15" s="2695"/>
      <c r="CV15" s="2695"/>
      <c r="CW15" s="2695"/>
      <c r="CX15" s="2696"/>
      <c r="CY15" s="2611"/>
      <c r="CZ15" s="2692"/>
      <c r="DA15" s="2611"/>
      <c r="DB15" s="2692"/>
      <c r="DC15" s="2611"/>
      <c r="DD15" s="2692"/>
      <c r="DE15" s="2611"/>
      <c r="DF15" s="2692"/>
      <c r="DG15" s="2611"/>
      <c r="DH15" s="2692"/>
      <c r="DI15" s="2611"/>
      <c r="DJ15" s="2692"/>
      <c r="DK15" s="2703"/>
      <c r="DL15" s="2695"/>
      <c r="DM15" s="2695"/>
      <c r="DN15" s="2695"/>
      <c r="DO15" s="2695"/>
      <c r="DP15" s="2695"/>
      <c r="DQ15" s="2695"/>
      <c r="DR15" s="2695"/>
      <c r="DS15" s="2695"/>
      <c r="DT15" s="2695"/>
      <c r="DU15" s="2695"/>
      <c r="DV15" s="2695"/>
      <c r="DW15" s="2695"/>
      <c r="DX15" s="2695"/>
      <c r="DY15" s="2695"/>
      <c r="DZ15" s="2695"/>
      <c r="EA15" s="2695"/>
      <c r="EB15" s="2695"/>
      <c r="EC15" s="2695"/>
      <c r="ED15" s="2695"/>
      <c r="EE15" s="2695"/>
      <c r="EF15" s="2695"/>
      <c r="EG15" s="2695"/>
      <c r="EH15" s="2695"/>
      <c r="EI15" s="2695"/>
      <c r="EJ15" s="2695"/>
      <c r="EK15" s="2695"/>
      <c r="EL15" s="2695"/>
      <c r="EM15" s="2695"/>
      <c r="EN15" s="2695"/>
      <c r="EO15" s="2695"/>
      <c r="EP15" s="2695"/>
      <c r="EQ15" s="2695"/>
      <c r="ER15" s="2695"/>
      <c r="ES15" s="2695"/>
      <c r="ET15" s="2695"/>
      <c r="EU15" s="2695"/>
      <c r="EV15" s="2695"/>
      <c r="EW15" s="2695"/>
      <c r="EX15" s="2695"/>
      <c r="EY15" s="2695"/>
      <c r="EZ15" s="2695"/>
      <c r="FA15" s="2695"/>
      <c r="FB15" s="2695"/>
      <c r="FC15" s="2695"/>
      <c r="FD15" s="2695"/>
      <c r="FE15" s="2695"/>
      <c r="FF15" s="2695"/>
      <c r="FG15" s="2695"/>
      <c r="FH15" s="2695"/>
      <c r="FI15" s="2695"/>
      <c r="FJ15" s="2695"/>
      <c r="FK15" s="2695"/>
      <c r="FL15" s="2695"/>
      <c r="FM15" s="2695"/>
      <c r="FN15" s="2695"/>
      <c r="FO15" s="2695"/>
      <c r="FP15" s="2695"/>
      <c r="FQ15" s="2695"/>
      <c r="FR15" s="2695"/>
      <c r="FS15" s="2695"/>
      <c r="FT15" s="2695"/>
      <c r="FU15" s="2695"/>
      <c r="FV15" s="2695"/>
      <c r="FW15" s="2701"/>
      <c r="FX15" s="1123"/>
    </row>
    <row customHeight="1" ht="12">
      <c r="D16" s="1299"/>
      <c r="E16" s="1298"/>
      <c r="F16" s="2478"/>
      <c r="G16" s="2478"/>
      <c r="H16" s="2714"/>
      <c r="I16" s="2714"/>
      <c r="J16" s="2713"/>
      <c r="K16" s="2713"/>
      <c r="L16" s="2713"/>
      <c r="M16" s="2713"/>
      <c r="N16" s="2713"/>
      <c r="O16" s="2693" t="s">
        <v>781</v>
      </c>
      <c r="P16" s="2694"/>
      <c r="Q16" s="2693" t="s">
        <v>783</v>
      </c>
      <c r="R16" s="2694"/>
      <c r="S16" s="2693" t="s">
        <v>787</v>
      </c>
      <c r="T16" s="2694"/>
      <c r="U16" s="2693" t="s">
        <v>792</v>
      </c>
      <c r="V16" s="2694"/>
      <c r="W16" s="2693" t="s">
        <v>795</v>
      </c>
      <c r="X16" s="2694"/>
      <c r="Y16" s="2693" t="s">
        <v>799</v>
      </c>
      <c r="Z16" s="2694"/>
      <c r="AA16" s="2693" t="s">
        <v>802</v>
      </c>
      <c r="AB16" s="2694"/>
      <c r="AC16" s="2695"/>
      <c r="AD16" s="2695"/>
      <c r="AE16" s="2695"/>
      <c r="AF16" s="2695"/>
      <c r="AG16" s="2695"/>
      <c r="AH16" s="2695"/>
      <c r="AI16" s="2695"/>
      <c r="AJ16" s="2695"/>
      <c r="AK16" s="2695"/>
      <c r="AL16" s="2695"/>
      <c r="AM16" s="2695"/>
      <c r="AN16" s="2695"/>
      <c r="AO16" s="2695"/>
      <c r="AP16" s="2695"/>
      <c r="AQ16" s="2695"/>
      <c r="AR16" s="2695"/>
      <c r="AS16" s="2695"/>
      <c r="AT16" s="2695"/>
      <c r="AU16" s="2695"/>
      <c r="AV16" s="2695"/>
      <c r="AW16" s="2695"/>
      <c r="AX16" s="2695"/>
      <c r="AY16" s="2695"/>
      <c r="AZ16" s="2695"/>
      <c r="BA16" s="2695"/>
      <c r="BB16" s="2695"/>
      <c r="BC16" s="2695"/>
      <c r="BD16" s="2695"/>
      <c r="BE16" s="2695"/>
      <c r="BF16" s="2695"/>
      <c r="BG16" s="2695"/>
      <c r="BH16" s="2695"/>
      <c r="BI16" s="2695"/>
      <c r="BJ16" s="2695"/>
      <c r="BK16" s="2695"/>
      <c r="BL16" s="2695"/>
      <c r="BM16" s="2695"/>
      <c r="BN16" s="2695"/>
      <c r="BO16" s="2695"/>
      <c r="BP16" s="2695"/>
      <c r="BQ16" s="2695"/>
      <c r="BR16" s="2695"/>
      <c r="BS16" s="2696"/>
      <c r="BT16" s="2693" t="s">
        <v>599</v>
      </c>
      <c r="BU16" s="2694"/>
      <c r="BV16" s="2693" t="s">
        <v>599</v>
      </c>
      <c r="BW16" s="2694"/>
      <c r="BX16" s="2693" t="s">
        <v>599</v>
      </c>
      <c r="BY16" s="2694"/>
      <c r="BZ16" s="2693" t="s">
        <v>599</v>
      </c>
      <c r="CA16" s="2694"/>
      <c r="CB16" s="2693" t="s">
        <v>1067</v>
      </c>
      <c r="CC16" s="2694"/>
      <c r="CD16" s="2693" t="s">
        <v>599</v>
      </c>
      <c r="CE16" s="2694"/>
      <c r="CF16" s="2693" t="s">
        <v>1068</v>
      </c>
      <c r="CG16" s="2694"/>
      <c r="CH16" s="2693" t="s">
        <v>1069</v>
      </c>
      <c r="CI16" s="2694"/>
      <c r="CJ16" s="2693" t="s">
        <v>1069</v>
      </c>
      <c r="CK16" s="2694"/>
      <c r="CL16" s="2703"/>
      <c r="CM16" s="2695"/>
      <c r="CN16" s="2695"/>
      <c r="CO16" s="2695"/>
      <c r="CP16" s="2695"/>
      <c r="CQ16" s="2695"/>
      <c r="CR16" s="2695"/>
      <c r="CS16" s="2695"/>
      <c r="CT16" s="2695"/>
      <c r="CU16" s="2695"/>
      <c r="CV16" s="2695"/>
      <c r="CW16" s="2695"/>
      <c r="CX16" s="2696"/>
      <c r="CY16" s="2609" t="s">
        <v>599</v>
      </c>
      <c r="CZ16" s="2691"/>
      <c r="DA16" s="2609" t="s">
        <v>599</v>
      </c>
      <c r="DB16" s="2691"/>
      <c r="DC16" s="2609" t="s">
        <v>599</v>
      </c>
      <c r="DD16" s="2691"/>
      <c r="DE16" s="2693" t="s">
        <v>1067</v>
      </c>
      <c r="DF16" s="2694"/>
      <c r="DG16" s="2693" t="s">
        <v>1070</v>
      </c>
      <c r="DH16" s="2694"/>
      <c r="DI16" s="2693" t="s">
        <v>1070</v>
      </c>
      <c r="DJ16" s="2694"/>
      <c r="DK16" s="2703"/>
      <c r="DL16" s="2695"/>
      <c r="DM16" s="2695"/>
      <c r="DN16" s="2695"/>
      <c r="DO16" s="2695"/>
      <c r="DP16" s="2695"/>
      <c r="DQ16" s="2695"/>
      <c r="DR16" s="2695"/>
      <c r="DS16" s="2695"/>
      <c r="DT16" s="2695"/>
      <c r="DU16" s="2695"/>
      <c r="DV16" s="2695"/>
      <c r="DW16" s="2695"/>
      <c r="DX16" s="2695"/>
      <c r="DY16" s="2695"/>
      <c r="DZ16" s="2695"/>
      <c r="EA16" s="2695"/>
      <c r="EB16" s="2695"/>
      <c r="EC16" s="2695"/>
      <c r="ED16" s="2695"/>
      <c r="EE16" s="2695"/>
      <c r="EF16" s="2695"/>
      <c r="EG16" s="2695"/>
      <c r="EH16" s="2695"/>
      <c r="EI16" s="2695"/>
      <c r="EJ16" s="2695"/>
      <c r="EK16" s="2695"/>
      <c r="EL16" s="2695"/>
      <c r="EM16" s="2695"/>
      <c r="EN16" s="2695"/>
      <c r="EO16" s="2695"/>
      <c r="EP16" s="2695"/>
      <c r="EQ16" s="2695"/>
      <c r="ER16" s="2695"/>
      <c r="ES16" s="2695"/>
      <c r="ET16" s="2695"/>
      <c r="EU16" s="2695"/>
      <c r="EV16" s="2695"/>
      <c r="EW16" s="2695"/>
      <c r="EX16" s="2695"/>
      <c r="EY16" s="2695"/>
      <c r="EZ16" s="2695"/>
      <c r="FA16" s="2695"/>
      <c r="FB16" s="2695"/>
      <c r="FC16" s="2695"/>
      <c r="FD16" s="2695"/>
      <c r="FE16" s="2695"/>
      <c r="FF16" s="2695"/>
      <c r="FG16" s="2695"/>
      <c r="FH16" s="2695"/>
      <c r="FI16" s="2695"/>
      <c r="FJ16" s="2695"/>
      <c r="FK16" s="2695"/>
      <c r="FL16" s="2695"/>
      <c r="FM16" s="2695"/>
      <c r="FN16" s="2695"/>
      <c r="FO16" s="2695"/>
      <c r="FP16" s="2695"/>
      <c r="FQ16" s="2695"/>
      <c r="FR16" s="2695"/>
      <c r="FS16" s="2695"/>
      <c r="FT16" s="2695"/>
      <c r="FU16" s="2695"/>
      <c r="FV16" s="2695"/>
      <c r="FW16" s="2701"/>
      <c r="FX16" s="1123"/>
    </row>
    <row customHeight="1" ht="15">
      <c r="E17" s="1298"/>
      <c r="F17" s="2478"/>
      <c r="G17" s="2478"/>
      <c r="H17" s="2714"/>
      <c r="I17" s="2714"/>
      <c r="J17" s="2713"/>
      <c r="K17" s="2713"/>
      <c r="L17" s="2713"/>
      <c r="M17" s="2713"/>
      <c r="N17" s="2713"/>
      <c r="O17" s="1556" t="s">
        <v>1071</v>
      </c>
      <c r="P17" s="1556" t="s">
        <v>1072</v>
      </c>
      <c r="Q17" s="1556" t="s">
        <v>1071</v>
      </c>
      <c r="R17" s="1556" t="s">
        <v>1072</v>
      </c>
      <c r="S17" s="1556" t="s">
        <v>1071</v>
      </c>
      <c r="T17" s="1556" t="s">
        <v>1072</v>
      </c>
      <c r="U17" s="1556" t="s">
        <v>1071</v>
      </c>
      <c r="V17" s="1556" t="s">
        <v>1072</v>
      </c>
      <c r="W17" s="1556" t="s">
        <v>1071</v>
      </c>
      <c r="X17" s="1556" t="s">
        <v>1072</v>
      </c>
      <c r="Y17" s="1556" t="s">
        <v>1071</v>
      </c>
      <c r="Z17" s="1556" t="s">
        <v>1072</v>
      </c>
      <c r="AA17" s="1556" t="s">
        <v>1071</v>
      </c>
      <c r="AB17" s="1556" t="s">
        <v>1072</v>
      </c>
      <c r="AC17" s="2695"/>
      <c r="AD17" s="2695"/>
      <c r="AE17" s="2695"/>
      <c r="AF17" s="2695"/>
      <c r="AG17" s="2695"/>
      <c r="AH17" s="2695"/>
      <c r="AI17" s="2695"/>
      <c r="AJ17" s="2695"/>
      <c r="AK17" s="2695"/>
      <c r="AL17" s="2695"/>
      <c r="AM17" s="2695"/>
      <c r="AN17" s="2695"/>
      <c r="AO17" s="2695"/>
      <c r="AP17" s="2695"/>
      <c r="AQ17" s="2695"/>
      <c r="AR17" s="2695"/>
      <c r="AS17" s="2695"/>
      <c r="AT17" s="2695"/>
      <c r="AU17" s="2695"/>
      <c r="AV17" s="2695"/>
      <c r="AW17" s="2695"/>
      <c r="AX17" s="2695"/>
      <c r="AY17" s="2695"/>
      <c r="AZ17" s="2695"/>
      <c r="BA17" s="2695"/>
      <c r="BB17" s="2695"/>
      <c r="BC17" s="2695"/>
      <c r="BD17" s="2695"/>
      <c r="BE17" s="2695"/>
      <c r="BF17" s="2695"/>
      <c r="BG17" s="2695"/>
      <c r="BH17" s="2695"/>
      <c r="BI17" s="2695"/>
      <c r="BJ17" s="2695"/>
      <c r="BK17" s="2695"/>
      <c r="BL17" s="2695"/>
      <c r="BM17" s="2695"/>
      <c r="BN17" s="2695"/>
      <c r="BO17" s="2695"/>
      <c r="BP17" s="2695"/>
      <c r="BQ17" s="2695"/>
      <c r="BR17" s="2695"/>
      <c r="BS17" s="2696"/>
      <c r="BT17" s="1556" t="s">
        <v>1071</v>
      </c>
      <c r="BU17" s="1556" t="s">
        <v>1072</v>
      </c>
      <c r="BV17" s="1556" t="s">
        <v>1071</v>
      </c>
      <c r="BW17" s="1556" t="s">
        <v>1072</v>
      </c>
      <c r="BX17" s="1556" t="s">
        <v>1071</v>
      </c>
      <c r="BY17" s="1556" t="s">
        <v>1072</v>
      </c>
      <c r="BZ17" s="1556" t="s">
        <v>1071</v>
      </c>
      <c r="CA17" s="1556" t="s">
        <v>1072</v>
      </c>
      <c r="CB17" s="1556" t="s">
        <v>1071</v>
      </c>
      <c r="CC17" s="1556" t="s">
        <v>1072</v>
      </c>
      <c r="CD17" s="1556" t="s">
        <v>1071</v>
      </c>
      <c r="CE17" s="1556" t="s">
        <v>1072</v>
      </c>
      <c r="CF17" s="1556" t="s">
        <v>1071</v>
      </c>
      <c r="CG17" s="1556" t="s">
        <v>1072</v>
      </c>
      <c r="CH17" s="1556" t="s">
        <v>1071</v>
      </c>
      <c r="CI17" s="1556" t="s">
        <v>1072</v>
      </c>
      <c r="CJ17" s="1556" t="s">
        <v>1071</v>
      </c>
      <c r="CK17" s="1556" t="s">
        <v>1072</v>
      </c>
      <c r="CL17" s="2703"/>
      <c r="CM17" s="2695"/>
      <c r="CN17" s="2695"/>
      <c r="CO17" s="2695"/>
      <c r="CP17" s="2695"/>
      <c r="CQ17" s="2695"/>
      <c r="CR17" s="2695"/>
      <c r="CS17" s="2695"/>
      <c r="CT17" s="2695"/>
      <c r="CU17" s="2695"/>
      <c r="CV17" s="2695"/>
      <c r="CW17" s="2695"/>
      <c r="CX17" s="2696"/>
      <c r="CY17" s="1556" t="s">
        <v>1071</v>
      </c>
      <c r="CZ17" s="1556" t="s">
        <v>1072</v>
      </c>
      <c r="DA17" s="1556" t="s">
        <v>1071</v>
      </c>
      <c r="DB17" s="1556" t="s">
        <v>1072</v>
      </c>
      <c r="DC17" s="1556" t="s">
        <v>1071</v>
      </c>
      <c r="DD17" s="1556" t="s">
        <v>1072</v>
      </c>
      <c r="DE17" s="1556" t="s">
        <v>1071</v>
      </c>
      <c r="DF17" s="1556" t="s">
        <v>1072</v>
      </c>
      <c r="DG17" s="1556" t="s">
        <v>1071</v>
      </c>
      <c r="DH17" s="1556" t="s">
        <v>1072</v>
      </c>
      <c r="DI17" s="1556" t="s">
        <v>1071</v>
      </c>
      <c r="DJ17" s="1556" t="s">
        <v>1072</v>
      </c>
      <c r="DK17" s="2703"/>
      <c r="DL17" s="2695"/>
      <c r="DM17" s="2695"/>
      <c r="DN17" s="2695"/>
      <c r="DO17" s="2695"/>
      <c r="DP17" s="2695"/>
      <c r="DQ17" s="2695"/>
      <c r="DR17" s="2695"/>
      <c r="DS17" s="2695"/>
      <c r="DT17" s="2695"/>
      <c r="DU17" s="2695"/>
      <c r="DV17" s="2695"/>
      <c r="DW17" s="2695"/>
      <c r="DX17" s="2695"/>
      <c r="DY17" s="2695"/>
      <c r="DZ17" s="2695"/>
      <c r="EA17" s="2695"/>
      <c r="EB17" s="2695"/>
      <c r="EC17" s="2695"/>
      <c r="ED17" s="2695"/>
      <c r="EE17" s="2695"/>
      <c r="EF17" s="2695"/>
      <c r="EG17" s="2695"/>
      <c r="EH17" s="2695"/>
      <c r="EI17" s="2695"/>
      <c r="EJ17" s="2695"/>
      <c r="EK17" s="2695"/>
      <c r="EL17" s="2695"/>
      <c r="EM17" s="2695"/>
      <c r="EN17" s="2695"/>
      <c r="EO17" s="2695"/>
      <c r="EP17" s="2695"/>
      <c r="EQ17" s="2695"/>
      <c r="ER17" s="2695"/>
      <c r="ES17" s="2695"/>
      <c r="ET17" s="2695"/>
      <c r="EU17" s="2695"/>
      <c r="EV17" s="2695"/>
      <c r="EW17" s="2695"/>
      <c r="EX17" s="2695"/>
      <c r="EY17" s="2695"/>
      <c r="EZ17" s="2695"/>
      <c r="FA17" s="2695"/>
      <c r="FB17" s="2695"/>
      <c r="FC17" s="2695"/>
      <c r="FD17" s="2695"/>
      <c r="FE17" s="2695"/>
      <c r="FF17" s="2695"/>
      <c r="FG17" s="2695"/>
      <c r="FH17" s="2695"/>
      <c r="FI17" s="2695"/>
      <c r="FJ17" s="2695"/>
      <c r="FK17" s="2695"/>
      <c r="FL17" s="2695"/>
      <c r="FM17" s="2695"/>
      <c r="FN17" s="2695"/>
      <c r="FO17" s="2695"/>
      <c r="FP17" s="2695"/>
      <c r="FQ17" s="2695"/>
      <c r="FR17" s="2695"/>
      <c r="FS17" s="2695"/>
      <c r="FT17" s="2695"/>
      <c r="FU17" s="2695"/>
      <c r="FV17" s="2695"/>
      <c r="FW17" s="2702"/>
      <c r="FX17" s="1123"/>
    </row>
    <row s="37238" customFormat="1" customHeight="1" ht="12" hidden="1">
      <c r="B18" s="1284"/>
      <c r="E18" s="1300"/>
      <c r="F18" s="1557"/>
      <c r="G18" s="1557"/>
      <c r="H18" s="1557"/>
      <c r="I18" s="1557"/>
      <c r="J18" s="1558"/>
      <c r="K18" s="1558"/>
      <c r="L18" s="1558"/>
      <c r="M18" s="1558"/>
      <c r="N18" s="1558"/>
      <c r="O18" s="1557"/>
      <c r="P18" s="1557"/>
      <c r="Q18" s="1557"/>
      <c r="R18" s="1557"/>
      <c r="S18" s="1557"/>
      <c r="T18" s="1557"/>
      <c r="U18" s="1559"/>
      <c r="V18" s="1559"/>
      <c r="W18" s="1559"/>
      <c r="X18" s="1559"/>
      <c r="Y18" s="1559"/>
      <c r="Z18" s="1559"/>
      <c r="AA18" s="1559"/>
      <c r="AB18" s="1557"/>
      <c r="AC18" s="1558"/>
      <c r="AD18" s="1558"/>
      <c r="AE18" s="1558"/>
      <c r="AF18" s="1558"/>
      <c r="AG18" s="1558"/>
      <c r="AH18" s="1558"/>
      <c r="AI18" s="1558"/>
      <c r="AJ18" s="1558"/>
      <c r="AK18" s="1558"/>
      <c r="AL18" s="1558"/>
      <c r="AM18" s="1558"/>
      <c r="AN18" s="1558"/>
      <c r="AO18" s="1558"/>
      <c r="AP18" s="1558"/>
      <c r="AQ18" s="1558"/>
      <c r="AR18" s="1558"/>
      <c r="AS18" s="1558"/>
      <c r="AT18" s="1558"/>
      <c r="AU18" s="1558"/>
      <c r="AV18" s="1558"/>
      <c r="AW18" s="1558"/>
      <c r="AX18" s="1558"/>
      <c r="AY18" s="1558"/>
      <c r="AZ18" s="1558"/>
      <c r="BA18" s="1558"/>
      <c r="BB18" s="1558"/>
      <c r="BC18" s="1558"/>
      <c r="BD18" s="1558"/>
      <c r="BE18" s="1558"/>
      <c r="BF18" s="1558"/>
      <c r="BG18" s="1558"/>
      <c r="BH18" s="1558"/>
      <c r="BI18" s="1558"/>
      <c r="BJ18" s="1558"/>
      <c r="BK18" s="1558"/>
      <c r="BL18" s="1558"/>
      <c r="BM18" s="1558"/>
      <c r="BN18" s="1558"/>
      <c r="BO18" s="1558"/>
      <c r="BP18" s="1558"/>
      <c r="BQ18" s="1558"/>
      <c r="BR18" s="1558"/>
      <c r="BS18" s="1558"/>
      <c r="BT18" s="1560"/>
      <c r="BU18" s="1560"/>
      <c r="BV18" s="1560"/>
      <c r="BW18" s="1560"/>
      <c r="BX18" s="1560"/>
      <c r="BY18" s="1560"/>
      <c r="BZ18" s="1560"/>
      <c r="CA18" s="1560"/>
      <c r="CB18" s="1560"/>
      <c r="CC18" s="1560"/>
      <c r="CD18" s="1560"/>
      <c r="CE18" s="1560"/>
      <c r="CF18" s="1560"/>
      <c r="CG18" s="1560"/>
      <c r="CH18" s="1560"/>
      <c r="CI18" s="1560"/>
      <c r="CJ18" s="1560"/>
      <c r="CK18" s="1560"/>
      <c r="CL18" s="1558"/>
      <c r="CM18" s="1558"/>
      <c r="CN18" s="1558"/>
      <c r="CO18" s="1558"/>
      <c r="CP18" s="1558"/>
      <c r="CQ18" s="1558"/>
      <c r="CR18" s="1558"/>
      <c r="CS18" s="1558"/>
      <c r="CT18" s="1558"/>
      <c r="CU18" s="1558"/>
      <c r="CV18" s="1558"/>
      <c r="CW18" s="1558"/>
      <c r="CX18" s="1558"/>
      <c r="CY18" s="1560"/>
      <c r="CZ18" s="1560"/>
      <c r="DA18" s="1560"/>
      <c r="DB18" s="1560"/>
      <c r="DC18" s="1560"/>
      <c r="DD18" s="1560"/>
      <c r="DE18" s="1560"/>
      <c r="DF18" s="1560"/>
      <c r="DG18" s="1560"/>
      <c r="DH18" s="1560"/>
      <c r="DI18" s="1560"/>
      <c r="DJ18" s="1560"/>
      <c r="DK18" s="1558"/>
      <c r="DL18" s="1558"/>
      <c r="DM18" s="1558"/>
      <c r="DN18" s="1558"/>
      <c r="DO18" s="1558"/>
      <c r="DP18" s="1558"/>
      <c r="DQ18" s="1558"/>
      <c r="DR18" s="1558"/>
      <c r="DS18" s="1558"/>
      <c r="DT18" s="1558"/>
      <c r="DU18" s="1558"/>
      <c r="DV18" s="1558"/>
      <c r="DW18" s="1558"/>
      <c r="DX18" s="1558"/>
      <c r="DY18" s="1558"/>
      <c r="DZ18" s="1558"/>
      <c r="EA18" s="1558"/>
      <c r="EB18" s="1558"/>
      <c r="EC18" s="1558"/>
      <c r="ED18" s="1558"/>
      <c r="EE18" s="1558"/>
      <c r="EF18" s="1558"/>
      <c r="EG18" s="1558"/>
      <c r="EH18" s="1558"/>
      <c r="EI18" s="1558"/>
      <c r="EJ18" s="1558"/>
      <c r="EK18" s="1558"/>
      <c r="EL18" s="1558"/>
      <c r="EM18" s="1558"/>
      <c r="EN18" s="1558"/>
      <c r="EO18" s="1558"/>
      <c r="EP18" s="1558"/>
      <c r="EQ18" s="1558"/>
      <c r="ER18" s="1558"/>
      <c r="ES18" s="1558"/>
      <c r="ET18" s="1558"/>
      <c r="EU18" s="1558"/>
      <c r="EV18" s="1558"/>
      <c r="EW18" s="1558"/>
      <c r="EX18" s="1558"/>
      <c r="EY18" s="1558"/>
      <c r="EZ18" s="1558"/>
      <c r="FA18" s="1558"/>
      <c r="FB18" s="1558"/>
      <c r="FC18" s="1558"/>
      <c r="FD18" s="1558"/>
      <c r="FE18" s="1558"/>
      <c r="FF18" s="1558"/>
      <c r="FG18" s="1558"/>
      <c r="FH18" s="1558"/>
      <c r="FI18" s="1558"/>
      <c r="FJ18" s="1558"/>
      <c r="FK18" s="1558"/>
      <c r="FL18" s="1558"/>
      <c r="FM18" s="1558"/>
      <c r="FN18" s="1558"/>
      <c r="FO18" s="1558"/>
      <c r="FP18" s="1558"/>
      <c r="FQ18" s="1558"/>
      <c r="FR18" s="1558"/>
      <c r="FS18" s="1558"/>
      <c r="FT18" s="1558"/>
      <c r="FU18" s="1558"/>
      <c r="FV18" s="1558"/>
      <c r="FW18" s="1557"/>
      <c r="FX18" s="1561"/>
    </row>
    <row s="37238" customFormat="1" customHeight="1" ht="11.25" hidden="1">
      <c r="B19" s="1284"/>
      <c r="E19" s="1300"/>
      <c r="F19" s="1557"/>
      <c r="G19" s="1557"/>
      <c r="H19" s="1557"/>
      <c r="I19" s="1557"/>
      <c r="J19" s="1557"/>
      <c r="K19" s="1557"/>
      <c r="L19" s="1557"/>
      <c r="M19" s="1557"/>
      <c r="N19" s="1557"/>
      <c r="O19" s="1557"/>
      <c r="P19" s="1557"/>
      <c r="Q19" s="1557"/>
      <c r="R19" s="1557"/>
      <c r="S19" s="1557"/>
      <c r="T19" s="1557"/>
      <c r="U19" s="1559"/>
      <c r="V19" s="1559"/>
      <c r="W19" s="1559"/>
      <c r="X19" s="1559"/>
      <c r="Y19" s="1559"/>
      <c r="Z19" s="1559"/>
      <c r="AA19" s="1559"/>
      <c r="AB19" s="1557"/>
      <c r="AC19" s="1557"/>
      <c r="AD19" s="1557"/>
      <c r="AE19" s="1557"/>
      <c r="AF19" s="1557"/>
      <c r="AG19" s="1557"/>
      <c r="AH19" s="1557"/>
      <c r="AI19" s="1557"/>
      <c r="AJ19" s="1557"/>
      <c r="AK19" s="1557"/>
      <c r="AL19" s="1557"/>
      <c r="AM19" s="1557"/>
      <c r="AN19" s="1557"/>
      <c r="AO19" s="1557"/>
      <c r="AP19" s="1557"/>
      <c r="AQ19" s="1557"/>
      <c r="AR19" s="1557"/>
      <c r="AS19" s="1557"/>
      <c r="AT19" s="1557"/>
      <c r="AU19" s="1557"/>
      <c r="AV19" s="1557"/>
      <c r="AW19" s="1557"/>
      <c r="AX19" s="1557"/>
      <c r="AY19" s="1557"/>
      <c r="AZ19" s="1557"/>
      <c r="BA19" s="1557"/>
      <c r="BB19" s="1557"/>
      <c r="BC19" s="1557"/>
      <c r="BD19" s="1557"/>
      <c r="BE19" s="1557"/>
      <c r="BF19" s="1557"/>
      <c r="BG19" s="1557"/>
      <c r="BH19" s="1557"/>
      <c r="BI19" s="1557"/>
      <c r="BJ19" s="1557"/>
      <c r="BK19" s="1557"/>
      <c r="BL19" s="1557"/>
      <c r="BM19" s="1557"/>
      <c r="BN19" s="1557"/>
      <c r="BO19" s="1557"/>
      <c r="BP19" s="1557"/>
      <c r="BQ19" s="1557"/>
      <c r="BR19" s="1557"/>
      <c r="BS19" s="1557"/>
      <c r="BT19" s="1557"/>
      <c r="BU19" s="1557"/>
      <c r="BV19" s="1557"/>
      <c r="BW19" s="1557"/>
      <c r="BX19" s="1557"/>
      <c r="BY19" s="1557"/>
      <c r="BZ19" s="1557"/>
      <c r="CA19" s="1557"/>
      <c r="CB19" s="1557"/>
      <c r="CC19" s="1557"/>
      <c r="CD19" s="1557"/>
      <c r="CE19" s="1557"/>
      <c r="CF19" s="1557"/>
      <c r="CG19" s="1557"/>
      <c r="CH19" s="1557"/>
      <c r="CI19" s="1557"/>
      <c r="CJ19" s="1557"/>
      <c r="CK19" s="1557"/>
      <c r="CL19" s="1557"/>
      <c r="CM19" s="1557"/>
      <c r="CN19" s="1557"/>
      <c r="CO19" s="1557"/>
      <c r="CP19" s="1557"/>
      <c r="CQ19" s="1557"/>
      <c r="CR19" s="1557"/>
      <c r="CS19" s="1557"/>
      <c r="CT19" s="1557"/>
      <c r="CU19" s="1557"/>
      <c r="CV19" s="1557"/>
      <c r="CW19" s="1557"/>
      <c r="CX19" s="1557"/>
      <c r="CY19" s="1557"/>
      <c r="CZ19" s="1557"/>
      <c r="DA19" s="1557"/>
      <c r="DB19" s="1557"/>
      <c r="DC19" s="1557"/>
      <c r="DD19" s="1557"/>
      <c r="DE19" s="1557"/>
      <c r="DF19" s="1557"/>
      <c r="DG19" s="1557"/>
      <c r="DH19" s="1557"/>
      <c r="DI19" s="1557"/>
      <c r="DJ19" s="1557"/>
      <c r="DK19" s="1557"/>
      <c r="DL19" s="1557"/>
      <c r="DM19" s="1557"/>
      <c r="DN19" s="1557"/>
      <c r="DO19" s="1557"/>
      <c r="DP19" s="1557"/>
      <c r="DQ19" s="1557"/>
      <c r="DR19" s="1557"/>
      <c r="DS19" s="1557"/>
      <c r="DT19" s="1557"/>
      <c r="DU19" s="1557"/>
      <c r="DV19" s="1557"/>
      <c r="DW19" s="1557"/>
      <c r="DX19" s="1557"/>
      <c r="DY19" s="1557"/>
      <c r="DZ19" s="1557"/>
      <c r="EA19" s="1557"/>
      <c r="EB19" s="1557"/>
      <c r="EC19" s="1557"/>
      <c r="ED19" s="1557"/>
      <c r="EE19" s="1557"/>
      <c r="EF19" s="1557"/>
      <c r="EG19" s="1557"/>
      <c r="EH19" s="1557"/>
      <c r="EI19" s="1557"/>
      <c r="EJ19" s="1557"/>
      <c r="EK19" s="1557"/>
      <c r="EL19" s="1557"/>
      <c r="EM19" s="1557"/>
      <c r="EN19" s="1557"/>
      <c r="EO19" s="1557"/>
      <c r="EP19" s="1557"/>
      <c r="EQ19" s="1557"/>
      <c r="ER19" s="1557"/>
      <c r="ES19" s="1557"/>
      <c r="ET19" s="1557"/>
      <c r="EU19" s="1557"/>
      <c r="EV19" s="1557"/>
      <c r="EW19" s="1557"/>
      <c r="EX19" s="1557"/>
      <c r="EY19" s="1557"/>
      <c r="EZ19" s="1557"/>
      <c r="FA19" s="1557"/>
      <c r="FB19" s="1557"/>
      <c r="FC19" s="1557"/>
      <c r="FD19" s="1557"/>
      <c r="FE19" s="1557"/>
      <c r="FF19" s="1557"/>
      <c r="FG19" s="1557"/>
      <c r="FH19" s="1557"/>
      <c r="FI19" s="1557"/>
      <c r="FJ19" s="1557"/>
      <c r="FK19" s="1557"/>
      <c r="FL19" s="1557"/>
      <c r="FM19" s="1557"/>
      <c r="FN19" s="1557"/>
      <c r="FO19" s="1557"/>
      <c r="FP19" s="1557"/>
      <c r="FQ19" s="1557"/>
      <c r="FR19" s="1557"/>
      <c r="FS19" s="1557"/>
      <c r="FT19" s="1557"/>
      <c r="FU19" s="1557"/>
      <c r="FV19" s="1557"/>
      <c r="FW19" s="1557"/>
      <c r="FX19" s="1561"/>
    </row>
    <row s="37184" customFormat="1" customHeight="1" ht="11.25" hidden="1">
      <c r="B20" s="1301"/>
      <c r="D20" s="1285"/>
      <c r="E20" s="1300"/>
      <c r="F20" s="1562" t="s">
        <v>417</v>
      </c>
      <c r="G20" s="1563"/>
      <c r="H20" s="1564"/>
      <c r="I20" s="1564"/>
      <c r="J20" s="1564"/>
      <c r="K20" s="1564"/>
      <c r="L20" s="1564"/>
      <c r="M20" s="1564"/>
      <c r="N20" s="1564"/>
      <c r="O20" s="1563"/>
      <c r="P20" s="1563"/>
      <c r="Q20" s="1563"/>
      <c r="R20" s="1563"/>
      <c r="S20" s="1563"/>
      <c r="T20" s="1563"/>
      <c r="U20" s="1565"/>
      <c r="V20" s="1565"/>
      <c r="W20" s="1565"/>
      <c r="X20" s="1565"/>
      <c r="Y20" s="1565"/>
      <c r="Z20" s="1565"/>
      <c r="AA20" s="1565"/>
      <c r="AB20" s="1563"/>
      <c r="AC20" s="1564"/>
      <c r="AD20" s="1564"/>
      <c r="AE20" s="1564"/>
      <c r="AF20" s="1564"/>
      <c r="AG20" s="1564"/>
      <c r="AH20" s="1564"/>
      <c r="AI20" s="1564"/>
      <c r="AJ20" s="1564"/>
      <c r="AK20" s="1564"/>
      <c r="AL20" s="1564"/>
      <c r="AM20" s="1564"/>
      <c r="AN20" s="1564"/>
      <c r="AO20" s="1564"/>
      <c r="AP20" s="1564"/>
      <c r="AQ20" s="1564"/>
      <c r="AR20" s="1564"/>
      <c r="AS20" s="1564"/>
      <c r="AT20" s="1564"/>
      <c r="AU20" s="1564"/>
      <c r="AV20" s="1564"/>
      <c r="AW20" s="1564"/>
      <c r="AX20" s="1564"/>
      <c r="AY20" s="1564"/>
      <c r="AZ20" s="1564"/>
      <c r="BA20" s="1564"/>
      <c r="BB20" s="1564"/>
      <c r="BC20" s="1564"/>
      <c r="BD20" s="1564"/>
      <c r="BE20" s="1564"/>
      <c r="BF20" s="1564"/>
      <c r="BG20" s="1564"/>
      <c r="BH20" s="1564"/>
      <c r="BI20" s="1564"/>
      <c r="BJ20" s="1564"/>
      <c r="BK20" s="1564"/>
      <c r="BL20" s="1564"/>
      <c r="BM20" s="1564"/>
      <c r="BN20" s="1564"/>
      <c r="BO20" s="1564"/>
      <c r="BP20" s="1564"/>
      <c r="BQ20" s="1564"/>
      <c r="BR20" s="1564"/>
      <c r="BS20" s="1564"/>
      <c r="BT20" s="1564"/>
      <c r="BU20" s="1564"/>
      <c r="BV20" s="1564"/>
      <c r="BW20" s="1564"/>
      <c r="BX20" s="1564"/>
      <c r="BY20" s="1564"/>
      <c r="BZ20" s="1564"/>
      <c r="CA20" s="1564"/>
      <c r="CB20" s="1564"/>
      <c r="CC20" s="1564"/>
      <c r="CD20" s="1564"/>
      <c r="CE20" s="1564"/>
      <c r="CF20" s="1564"/>
      <c r="CG20" s="1564"/>
      <c r="CH20" s="1564"/>
      <c r="CI20" s="1564"/>
      <c r="CJ20" s="1564"/>
      <c r="CK20" s="1564"/>
      <c r="CL20" s="1566"/>
      <c r="CM20" s="1566"/>
      <c r="CN20" s="1566"/>
      <c r="CO20" s="1566"/>
      <c r="CP20" s="1566"/>
      <c r="CQ20" s="1566"/>
      <c r="CR20" s="1566"/>
      <c r="CS20" s="1566"/>
      <c r="CT20" s="1566"/>
      <c r="CU20" s="1566"/>
      <c r="CV20" s="1566"/>
      <c r="CW20" s="1566"/>
      <c r="CX20" s="1566"/>
      <c r="CY20" s="1566"/>
      <c r="CZ20" s="1566"/>
      <c r="DA20" s="1566"/>
      <c r="DB20" s="1566"/>
      <c r="DC20" s="1566"/>
      <c r="DD20" s="1566"/>
      <c r="DE20" s="1566"/>
      <c r="DF20" s="1566"/>
      <c r="DG20" s="1566"/>
      <c r="DH20" s="1566"/>
      <c r="DI20" s="1566"/>
      <c r="DJ20" s="1566"/>
      <c r="DK20" s="1566"/>
      <c r="DL20" s="1566"/>
      <c r="DM20" s="1566"/>
      <c r="DN20" s="1566"/>
      <c r="DO20" s="1566"/>
      <c r="DP20" s="1566"/>
      <c r="DQ20" s="1566"/>
      <c r="DR20" s="1566"/>
      <c r="DS20" s="1566"/>
      <c r="DT20" s="1566"/>
      <c r="DU20" s="1566"/>
      <c r="DV20" s="1566"/>
      <c r="DW20" s="1566"/>
      <c r="DX20" s="1566"/>
      <c r="DY20" s="1566"/>
      <c r="DZ20" s="1566"/>
      <c r="EA20" s="1566"/>
      <c r="EB20" s="1566"/>
      <c r="EC20" s="1566"/>
      <c r="ED20" s="1566"/>
      <c r="EE20" s="1566"/>
      <c r="EF20" s="1566"/>
      <c r="EG20" s="1566"/>
      <c r="EH20" s="1566"/>
      <c r="EI20" s="1566"/>
      <c r="EJ20" s="1566"/>
      <c r="EK20" s="1566"/>
      <c r="EL20" s="1566"/>
      <c r="EM20" s="1566"/>
      <c r="EN20" s="1566"/>
      <c r="EO20" s="1566"/>
      <c r="EP20" s="1566"/>
      <c r="EQ20" s="1566"/>
      <c r="ER20" s="1566"/>
      <c r="ES20" s="1566"/>
      <c r="ET20" s="1566"/>
      <c r="EU20" s="1566"/>
      <c r="EV20" s="1566"/>
      <c r="EW20" s="1566"/>
      <c r="EX20" s="1566"/>
      <c r="EY20" s="1566"/>
      <c r="EZ20" s="1566"/>
      <c r="FA20" s="1566"/>
      <c r="FB20" s="1566"/>
      <c r="FC20" s="1566"/>
      <c r="FD20" s="1566"/>
      <c r="FE20" s="1566"/>
      <c r="FF20" s="1566"/>
      <c r="FG20" s="1566"/>
      <c r="FH20" s="1566"/>
      <c r="FI20" s="1566"/>
      <c r="FJ20" s="1566"/>
      <c r="FK20" s="1566"/>
      <c r="FL20" s="1566"/>
      <c r="FM20" s="1566"/>
      <c r="FN20" s="1566"/>
      <c r="FO20" s="1566"/>
      <c r="FP20" s="1566"/>
      <c r="FQ20" s="1566"/>
      <c r="FR20" s="1566"/>
      <c r="FS20" s="1566"/>
      <c r="FT20" s="1566"/>
      <c r="FU20" s="1566"/>
      <c r="FV20" s="1566"/>
      <c r="FW20" s="1566"/>
      <c r="FX20" s="1567"/>
    </row>
    <row s="37184" customFormat="1" customHeight="1" ht="12">
      <c r="A21" s="1302"/>
      <c r="B21" s="1302"/>
      <c r="C21" s="1302"/>
      <c r="D21" s="1302"/>
      <c r="E21" s="1302"/>
      <c r="F21" s="1300"/>
      <c r="G21" s="1300"/>
      <c r="H21" s="1300"/>
      <c r="I21" s="1300"/>
      <c r="J21" s="1300"/>
      <c r="K21" s="1300"/>
      <c r="L21" s="1300"/>
      <c r="M21" s="1300"/>
      <c r="N21" s="1300"/>
      <c r="O21" s="1300"/>
      <c r="P21" s="1300"/>
      <c r="Q21" s="1300"/>
      <c r="R21" s="1300"/>
      <c r="S21" s="1303"/>
      <c r="T21" s="1303"/>
      <c r="U21" s="1300"/>
      <c r="V21" s="1300"/>
      <c r="W21" s="1300"/>
      <c r="X21" s="1300"/>
      <c r="Y21" s="1300"/>
      <c r="Z21" s="1300"/>
      <c r="AA21" s="1300"/>
      <c r="AB21" s="1300"/>
      <c r="AC21" s="1300"/>
      <c r="AD21" s="1300"/>
      <c r="AE21" s="1300"/>
      <c r="AF21" s="1300"/>
      <c r="AG21" s="1300"/>
      <c r="AH21" s="1300"/>
      <c r="AI21" s="1300"/>
      <c r="AJ21" s="1300"/>
      <c r="AK21" s="1300"/>
      <c r="AL21" s="1300"/>
      <c r="AM21" s="1300"/>
      <c r="AN21" s="1300"/>
      <c r="AO21" s="1300"/>
      <c r="AP21" s="1300"/>
      <c r="AQ21" s="1300"/>
      <c r="AR21" s="1300"/>
      <c r="AS21" s="1300"/>
      <c r="AT21" s="1300"/>
      <c r="AU21" s="1300"/>
      <c r="AV21" s="1300"/>
      <c r="AW21" s="1300"/>
      <c r="AX21" s="1300"/>
      <c r="AY21" s="1300"/>
      <c r="AZ21" s="1300"/>
      <c r="BA21" s="1300"/>
      <c r="BB21" s="1300"/>
      <c r="BC21" s="1300"/>
      <c r="BD21" s="1300"/>
      <c r="BE21" s="1300"/>
      <c r="BF21" s="1300"/>
      <c r="BG21" s="1300"/>
      <c r="BH21" s="1300"/>
      <c r="BI21" s="1300"/>
      <c r="BJ21" s="1300"/>
      <c r="BK21" s="1300"/>
      <c r="BL21" s="1300"/>
      <c r="BM21" s="1300"/>
      <c r="BN21" s="1300"/>
      <c r="BO21" s="1300"/>
      <c r="BP21" s="1300"/>
      <c r="BQ21" s="1300"/>
      <c r="BR21" s="1300"/>
      <c r="BS21" s="1300"/>
      <c r="BT21" s="1300"/>
      <c r="BU21" s="1300"/>
      <c r="BV21" s="1300"/>
      <c r="BW21" s="1300"/>
      <c r="BX21" s="1300"/>
      <c r="BY21" s="1300"/>
      <c r="BZ21" s="1300"/>
      <c r="CA21" s="1300"/>
      <c r="CB21" s="1300"/>
      <c r="CC21" s="1300"/>
      <c r="CD21" s="1300"/>
      <c r="CE21" s="1300"/>
      <c r="CF21" s="1300"/>
      <c r="CG21" s="1300"/>
      <c r="CH21" s="1300"/>
      <c r="CI21" s="1300"/>
      <c r="CJ21" s="1300"/>
      <c r="CK21" s="1300"/>
      <c r="CL21" s="1300"/>
      <c r="CM21" s="1300"/>
      <c r="CN21" s="1300"/>
      <c r="CO21" s="1300"/>
      <c r="CP21" s="1300"/>
      <c r="CQ21" s="1300"/>
      <c r="CR21" s="1300"/>
      <c r="CS21" s="1300"/>
      <c r="CT21" s="1300"/>
      <c r="CU21" s="1300"/>
      <c r="CV21" s="1300"/>
      <c r="CW21" s="1300"/>
      <c r="CX21" s="1300"/>
      <c r="CY21" s="1300"/>
      <c r="CZ21" s="1300"/>
      <c r="DA21" s="1300"/>
      <c r="DB21" s="1300"/>
      <c r="DC21" s="1300"/>
      <c r="DD21" s="1300"/>
      <c r="DE21" s="1300"/>
      <c r="DF21" s="1300"/>
      <c r="DG21" s="1300"/>
      <c r="DH21" s="1300"/>
      <c r="DI21" s="1300"/>
      <c r="DJ21" s="1300"/>
      <c r="DK21" s="1300"/>
      <c r="DL21" s="1300"/>
      <c r="DM21" s="1300"/>
      <c r="DN21" s="1300"/>
      <c r="DO21" s="1300"/>
      <c r="DP21" s="1300"/>
      <c r="DQ21" s="1300"/>
      <c r="DR21" s="1300"/>
      <c r="DS21" s="1300"/>
      <c r="DT21" s="1300"/>
      <c r="DU21" s="1300"/>
      <c r="DV21" s="1300"/>
      <c r="DW21" s="1300"/>
      <c r="DX21" s="1300"/>
      <c r="DY21" s="1300"/>
      <c r="DZ21" s="1300"/>
      <c r="EA21" s="1300"/>
      <c r="EB21" s="1300"/>
      <c r="EC21" s="1300"/>
      <c r="ED21" s="1300"/>
      <c r="EE21" s="1300"/>
      <c r="EF21" s="1300"/>
      <c r="EG21" s="1300"/>
      <c r="EH21" s="1300"/>
      <c r="EI21" s="1300"/>
      <c r="EJ21" s="1300"/>
      <c r="EK21" s="1300"/>
      <c r="EL21" s="1300"/>
      <c r="EM21" s="1300"/>
      <c r="EN21" s="1300"/>
      <c r="EO21" s="1300"/>
      <c r="EP21" s="1300"/>
      <c r="EQ21" s="1300"/>
      <c r="ER21" s="1300"/>
      <c r="ES21" s="1300"/>
      <c r="ET21" s="1300"/>
      <c r="EU21" s="1300"/>
      <c r="EV21" s="1300"/>
      <c r="EW21" s="1300"/>
      <c r="EX21" s="1300"/>
      <c r="EY21" s="1300"/>
      <c r="EZ21" s="1300"/>
      <c r="FA21" s="1300"/>
      <c r="FB21" s="1300"/>
      <c r="FC21" s="1300"/>
      <c r="FD21" s="1300"/>
      <c r="FE21" s="1300"/>
      <c r="FF21" s="1300"/>
      <c r="FG21" s="1300"/>
      <c r="FH21" s="1300"/>
      <c r="FI21" s="1300"/>
      <c r="FJ21" s="1300"/>
      <c r="FK21" s="1300"/>
      <c r="FL21" s="1300"/>
      <c r="FM21" s="1300"/>
      <c r="FN21" s="1300"/>
      <c r="FO21" s="1300"/>
      <c r="FP21" s="1300"/>
      <c r="FQ21" s="1300"/>
      <c r="FR21" s="1300"/>
      <c r="FS21" s="1300"/>
      <c r="FT21" s="1300"/>
      <c r="FU21" s="1300"/>
      <c r="FV21" s="1300"/>
      <c r="FW21" s="1300"/>
      <c r="FX21" s="1302"/>
      <c r="FY21" s="1302"/>
      <c r="FZ21" s="1302"/>
      <c r="GA21" s="1302"/>
      <c r="GB21" s="1302"/>
    </row>
    <row s="37184" customFormat="1" customHeight="1" ht="12">
      <c r="A22" s="1302"/>
      <c r="B22" s="1302"/>
      <c r="C22" s="1302"/>
      <c r="D22" s="1302"/>
      <c r="E22" s="1302"/>
      <c r="FX22" s="1302"/>
      <c r="FY22" s="1302"/>
      <c r="FZ22" s="1302"/>
      <c r="GA22" s="1302"/>
      <c r="GB22" s="1302"/>
    </row>
    <row s="37254" customFormat="1" customHeight="1" ht="12">
      <c r="A23" s="1424"/>
      <c r="B23" s="1424"/>
      <c r="C23" s="1424"/>
      <c r="D23" s="1424"/>
      <c r="E23" s="1424"/>
      <c r="O23" s="1426"/>
      <c r="P23" s="1426"/>
      <c r="Q23" s="1426"/>
      <c r="R23" s="1426"/>
      <c r="S23" s="1426"/>
      <c r="T23" s="1426"/>
      <c r="U23" s="1426"/>
      <c r="V23" s="1426"/>
      <c r="W23" s="1426"/>
      <c r="X23" s="1426"/>
      <c r="Y23" s="1426"/>
      <c r="Z23" s="1426"/>
      <c r="AA23" s="1426"/>
      <c r="AB23" s="1426"/>
      <c r="AC23" s="1426"/>
      <c r="AD23" s="1426"/>
      <c r="AE23" s="1426"/>
      <c r="AF23" s="1426"/>
      <c r="AG23" s="1426"/>
      <c r="AH23" s="1426"/>
      <c r="AI23" s="1426"/>
      <c r="AJ23" s="1426"/>
      <c r="AK23" s="1426"/>
      <c r="AL23" s="1426"/>
      <c r="AM23" s="1426"/>
      <c r="AN23" s="1426"/>
      <c r="AO23" s="1426"/>
      <c r="AP23" s="1426"/>
      <c r="AQ23" s="1426"/>
      <c r="AR23" s="1426"/>
      <c r="AS23" s="1426"/>
      <c r="AT23" s="1426"/>
      <c r="AU23" s="1426"/>
      <c r="AV23" s="1426"/>
      <c r="AW23" s="1426"/>
      <c r="AX23" s="1426"/>
      <c r="AY23" s="1426"/>
      <c r="AZ23" s="1426"/>
      <c r="BA23" s="1426"/>
      <c r="BB23" s="1426"/>
      <c r="BC23" s="1426"/>
      <c r="BD23" s="1426"/>
      <c r="BE23" s="1426"/>
      <c r="BF23" s="1426"/>
      <c r="BG23" s="1426"/>
      <c r="BH23" s="1426"/>
      <c r="BI23" s="1426"/>
      <c r="BJ23" s="1426"/>
      <c r="BK23" s="1426"/>
      <c r="BL23" s="1426"/>
      <c r="BM23" s="1426"/>
      <c r="BN23" s="1426"/>
      <c r="BO23" s="1426"/>
      <c r="BP23" s="1426"/>
      <c r="BQ23" s="1426"/>
      <c r="BR23" s="1426"/>
      <c r="BS23" s="1426"/>
      <c r="BT23" s="1427"/>
      <c r="BU23" s="1427"/>
      <c r="BV23" s="1427"/>
      <c r="BW23" s="1427"/>
      <c r="BX23" s="1427"/>
      <c r="BY23" s="1427"/>
      <c r="BZ23" s="1427"/>
      <c r="CA23" s="1427"/>
      <c r="CB23" s="1427"/>
      <c r="CC23" s="1427"/>
      <c r="CD23" s="1427"/>
      <c r="CE23" s="1427"/>
      <c r="CF23" s="1427"/>
      <c r="CG23" s="1427"/>
      <c r="CH23" s="1427"/>
      <c r="CI23" s="1427"/>
      <c r="CJ23" s="1427"/>
      <c r="CK23" s="1427"/>
      <c r="CL23" s="1427"/>
      <c r="CM23" s="1427"/>
      <c r="CN23" s="1427"/>
      <c r="CO23" s="1427"/>
      <c r="CP23" s="1427"/>
      <c r="CQ23" s="1427"/>
      <c r="CR23" s="1427"/>
      <c r="CS23" s="1427"/>
      <c r="CT23" s="1427"/>
      <c r="CU23" s="1427"/>
      <c r="CV23" s="1427"/>
      <c r="CW23" s="1427"/>
      <c r="CX23" s="1427"/>
      <c r="CY23" s="1427"/>
      <c r="CZ23" s="1427"/>
      <c r="DA23" s="1427"/>
      <c r="DB23" s="1427"/>
      <c r="DC23" s="1427"/>
      <c r="DD23" s="1427"/>
      <c r="DE23" s="1427"/>
      <c r="DF23" s="1427"/>
      <c r="DG23" s="1427"/>
      <c r="DH23" s="1427"/>
      <c r="DI23" s="1427"/>
      <c r="DJ23" s="1427"/>
      <c r="DK23" s="1427"/>
      <c r="DL23" s="1427"/>
      <c r="DM23" s="1427"/>
      <c r="DN23" s="1427"/>
      <c r="DO23" s="1427"/>
      <c r="DP23" s="1427"/>
      <c r="DQ23" s="1427"/>
      <c r="DR23" s="1427"/>
      <c r="DS23" s="1427"/>
      <c r="DT23" s="1427"/>
      <c r="DU23" s="1427"/>
      <c r="DV23" s="1427"/>
      <c r="DW23" s="1427"/>
      <c r="DX23" s="1427"/>
      <c r="FX23" s="1424"/>
      <c r="FY23" s="1424"/>
      <c r="FZ23" s="1424"/>
      <c r="GA23" s="1424"/>
      <c r="GB23" s="1424"/>
    </row>
    <row customHeight="1" ht="12">
      <c r="S24" s="1299"/>
      <c r="T24" s="1299"/>
      <c r="U24" s="1299"/>
      <c r="V24" s="1299"/>
      <c r="W24" s="1299"/>
      <c r="X24" s="1299"/>
      <c r="Y24" s="1299"/>
      <c r="Z24" s="1299"/>
      <c r="AA24" s="1299"/>
      <c r="AB24" s="1299"/>
      <c r="FX24" s="1299"/>
      <c r="FY24" s="1299"/>
      <c r="FZ24" s="1299"/>
      <c r="GA24" s="1299"/>
      <c r="GB24" s="1299"/>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338BD-EA9F-5278-E766-3ABCC0840527}" mc:Ignorable="x14ac xr xr2 xr3">
  <sheetPr>
    <tabColor theme="2" tint="-0.1"/>
  </sheetPr>
  <dimension ref="A1:R22"/>
  <sheetViews>
    <sheetView topLeftCell="A1" showGridLines="0" zoomScale="90" workbookViewId="0">
      <selection activeCell="A1" sqref="A1"/>
    </sheetView>
  </sheetViews>
  <sheetFormatPr defaultColWidth="10.57421875" customHeight="1" defaultRowHeight="15"/>
  <cols>
    <col min="1" max="1" style="32070" width="9.140625" hidden="1" customWidth="1"/>
    <col min="2" max="2" style="32073" width="9.140625" hidden="1" customWidth="1"/>
    <col min="3" max="3" style="37074" width="4.7109375" customWidth="1"/>
    <col min="4" max="4" style="32073" width="6.28125" customWidth="1"/>
    <col min="5" max="5" style="32073" width="36.7109375" customWidth="1"/>
    <col min="6" max="6" style="32073" width="9.57421875" customWidth="1"/>
    <col min="7" max="7" style="31547" width="42.421875" hidden="1" customWidth="1"/>
    <col min="8" max="8" style="32073" width="40.7109375" customWidth="1"/>
    <col min="9" max="9" style="31548" width="93.421875" customWidth="1"/>
    <col min="10" max="17" style="32073" width="10.57421875"/>
    <col min="18" max="18" style="37075" width="10.57421875"/>
  </cols>
  <sheetData>
    <row s="31548" customFormat="1" customHeight="1" ht="15" hidden="1">
      <c r="C1" s="1033"/>
      <c r="H1" s="778">
        <v>4</v>
      </c>
      <c r="R1" s="781"/>
    </row>
    <row customHeight="1" ht="22.5" hidden="1">
      <c r="C2" s="2295" t="s">
        <v>103</v>
      </c>
      <c r="D2" s="900"/>
      <c r="E2" s="1024"/>
      <c r="F2" s="2127" t="str">
        <f>IF(TEMPLATE_SPHERE="HEAT","Гкал/час","тыс. куб. м/сутки")</f>
        <v>тыс. куб. м/сутки</v>
      </c>
      <c r="G2" s="1041"/>
      <c r="H2" s="1041"/>
      <c r="I2" s="650"/>
    </row>
    <row s="31548" customFormat="1" customHeight="1" ht="15" hidden="1">
      <c r="C3" s="1033"/>
      <c r="R3" s="781"/>
    </row>
    <row customHeight="1" ht="15">
      <c r="C4" s="538"/>
      <c r="D4" s="870"/>
      <c r="E4" s="870"/>
      <c r="F4" s="870"/>
      <c r="G4" s="870"/>
      <c r="H4" s="870"/>
    </row>
    <row customHeight="1" ht="37.5">
      <c r="C5" s="538"/>
      <c r="D5" s="250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505"/>
      <c r="F5" s="2505"/>
      <c r="G5" s="2505"/>
      <c r="H5" s="2505"/>
      <c r="I5" s="898"/>
    </row>
    <row customHeight="1" ht="15">
      <c r="C6" s="538"/>
      <c r="D6" s="2474" t="str">
        <f>IF(org=0,"Не определено",org)</f>
        <v>АО "Мурманэнергосбыт"</v>
      </c>
      <c r="E6" s="2474"/>
      <c r="F6" s="2474"/>
      <c r="G6" s="2474"/>
      <c r="H6" s="2474"/>
      <c r="I6" s="898"/>
    </row>
    <row s="31547" customFormat="1" customHeight="1" ht="15">
      <c r="A7" s="1120"/>
      <c r="C7" s="538"/>
      <c r="D7" s="1037"/>
      <c r="E7" s="1037"/>
      <c r="F7" s="1037"/>
      <c r="G7" s="1037"/>
      <c r="H7" s="1113"/>
      <c r="I7" s="898"/>
      <c r="R7" s="1036"/>
    </row>
    <row customHeight="1" ht="0.75">
      <c r="C8" s="538"/>
      <c r="D8" s="870"/>
      <c r="E8" s="870"/>
      <c r="F8" s="870"/>
      <c r="G8" s="870"/>
      <c r="H8" s="898" t="s">
        <v>125</v>
      </c>
    </row>
    <row customHeight="1" ht="15">
      <c r="C9" s="538"/>
      <c r="D9" s="1072"/>
      <c r="E9" s="2636" t="s">
        <v>114</v>
      </c>
      <c r="F9" s="2637"/>
      <c r="G9" s="1177" t="str">
        <f>IF(G8="","",INDEX(DIFFERENTIATION_UNMERGE_VD,MATCH(G8,DIFFERENTIATION_ID_DIFF,0)))</f>
        <v/>
      </c>
      <c r="H9" s="1177">
        <f>IF(H8="","",INDEX(DIFFERENTIATION_UNMERGE_VD,MATCH(H8,DIFFERENTIATION_ID_DIFF,0)))</f>
        <v>0</v>
      </c>
      <c r="I9" s="2392" t="s">
        <v>342</v>
      </c>
    </row>
    <row s="31547" customFormat="1" customHeight="1" ht="15">
      <c r="A10" s="1120"/>
      <c r="C10" s="538"/>
      <c r="D10" s="1072"/>
      <c r="E10" s="2636" t="s">
        <v>605</v>
      </c>
      <c r="F10" s="2637"/>
      <c r="G10" s="1177" t="str">
        <f>IF(G8="","",INDEX(DIFFERENTIATION_UNMERGE_AREA,MATCH(G8,DIFFERENTIATION_ID_DIFF,0)))</f>
        <v/>
      </c>
      <c r="H10" s="1177" t="str">
        <f>IF(H8="","",INDEX(DIFFERENTIATION_UNMERGE_AREA,MATCH(H8,DIFFERENTIATION_ID_DIFF,0)))</f>
        <v/>
      </c>
      <c r="I10" s="2392"/>
      <c r="R10" s="1036"/>
    </row>
    <row s="31547" customFormat="1" customHeight="1" ht="15">
      <c r="A11" s="1120"/>
      <c r="C11" s="538"/>
      <c r="D11" s="1072"/>
      <c r="E11" s="2636" t="s">
        <v>606</v>
      </c>
      <c r="F11" s="2637"/>
      <c r="G11" s="1177" t="str">
        <f>IF(G8="","",INDEX(DIFFERENTIATION_UNMERGE_SYSTEM,MATCH(G8,DIFFERENTIATION_ID_DIFF,0)))</f>
        <v/>
      </c>
      <c r="H11" s="1177" t="str">
        <f>IF(H8="","",INDEX(DIFFERENTIATION_UNMERGE_SYSTEM,MATCH(H8,DIFFERENTIATION_ID_DIFF,0)))</f>
        <v>без дифференциации</v>
      </c>
      <c r="I11" s="2392"/>
      <c r="R11" s="1036"/>
    </row>
    <row s="31547" customFormat="1" customHeight="1" ht="15">
      <c r="A12" s="1120"/>
      <c r="C12" s="538"/>
      <c r="D12" s="2638" t="s">
        <v>341</v>
      </c>
      <c r="E12" s="2639"/>
      <c r="F12" s="2639"/>
      <c r="G12" s="1248"/>
      <c r="H12" s="1248"/>
      <c r="I12" s="2392"/>
      <c r="R12" s="1036"/>
    </row>
    <row customHeight="1" ht="33.75">
      <c r="C13" s="538"/>
      <c r="D13" s="1122" t="s">
        <v>87</v>
      </c>
      <c r="E13" s="1121" t="s">
        <v>343</v>
      </c>
      <c r="F13" s="1121" t="s">
        <v>607</v>
      </c>
      <c r="G13" s="1169" t="s">
        <v>344</v>
      </c>
      <c r="H13" s="1115" t="s">
        <v>344</v>
      </c>
      <c r="I13" s="2392"/>
    </row>
    <row customHeight="1" ht="15" hidden="1">
      <c r="C14" s="538"/>
      <c r="D14" s="954" t="s">
        <v>118</v>
      </c>
      <c r="E14" s="954" t="s">
        <v>102</v>
      </c>
      <c r="F14" s="954" t="s">
        <v>89</v>
      </c>
      <c r="G14" s="1020" t="str">
        <f>G1&amp;".1"</f>
        <v>.1</v>
      </c>
      <c r="H14" s="1020" t="str">
        <f>H1&amp;".1"</f>
        <v>4.1</v>
      </c>
      <c r="I14" s="650"/>
    </row>
    <row customHeight="1" ht="15">
      <c r="A15" s="866"/>
      <c r="C15" s="887"/>
      <c r="D15" s="882">
        <v>1</v>
      </c>
      <c r="E15" s="2297" t="str">
        <f>TP_P_A</f>
        <v>Количество поданных заявлений </v>
      </c>
      <c r="F15" s="882" t="s">
        <v>1073</v>
      </c>
      <c r="G15" s="1046"/>
      <c r="H15" s="1046"/>
      <c r="I15" s="56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15">
      <c r="A16" s="866"/>
      <c r="C16" s="887"/>
      <c r="D16" s="882">
        <v>2</v>
      </c>
      <c r="E16" s="2297" t="str">
        <f>TP_P_B</f>
        <v>Количество исполненных заявлений </v>
      </c>
      <c r="F16" s="882" t="s">
        <v>1073</v>
      </c>
      <c r="G16" s="1046"/>
      <c r="H16" s="1046"/>
      <c r="I16" s="56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73.5">
      <c r="A17" s="866"/>
      <c r="C17" s="887"/>
      <c r="D17" s="882">
        <v>3</v>
      </c>
      <c r="E17" s="229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882" t="s">
        <v>1073</v>
      </c>
      <c r="G17" s="1046"/>
      <c r="H17" s="1046"/>
      <c r="I17" s="56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row>
    <row customHeight="1" ht="52.5">
      <c r="A18" s="866"/>
      <c r="C18" s="887"/>
      <c r="D18" s="882">
        <v>4</v>
      </c>
      <c r="E18" s="2297" t="str">
        <f>TP_P_V_1</f>
        <v>Причины отказа в заключении договора о подключении (технологическом присоединении) к централизованной системе горячего водоснабжения</v>
      </c>
      <c r="F18" s="882" t="s">
        <v>347</v>
      </c>
      <c r="G18" s="1047"/>
      <c r="H18" s="1047"/>
      <c r="I18" s="119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866"/>
      <c r="C19" s="887"/>
      <c r="D19" s="882">
        <v>5</v>
      </c>
      <c r="E19" s="2297"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882" t="str">
        <f>IF(TEMPLATE_SPHERE="HEAT","Гкал/час","тыс. куб. м/сутки")</f>
        <v>тыс. куб. м/сутки</v>
      </c>
      <c r="G19" s="1048">
        <f>SUM(G20:G22)</f>
        <v>0</v>
      </c>
      <c r="H19" s="1048">
        <f>SUM(H20:H22)</f>
        <v>0</v>
      </c>
      <c r="I19" s="56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row>
    <row customHeight="1" ht="15" hidden="1">
      <c r="D20" s="870" t="s">
        <v>1074</v>
      </c>
      <c r="E20" s="1049"/>
      <c r="F20" s="870"/>
      <c r="G20" s="870"/>
      <c r="H20" s="870"/>
      <c r="I20" s="2129"/>
    </row>
    <row customHeight="1" ht="27.75">
      <c r="C21" s="812"/>
      <c r="D21" s="900" t="s">
        <v>354</v>
      </c>
      <c r="E21" s="1031"/>
      <c r="F21" s="2127" t="str">
        <f>IF(TEMPLATE_SPHERE="HEAT","Гкал/час","тыс. куб. м/сутки")</f>
        <v>тыс. куб. м/сутки</v>
      </c>
      <c r="G21" s="1041"/>
      <c r="H21" s="1041"/>
      <c r="I21" s="2436"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row>
    <row customHeight="1" ht="15">
      <c r="A22" s="866"/>
      <c r="C22" s="866"/>
      <c r="D22" s="708"/>
      <c r="E22" s="941" t="s">
        <v>1075</v>
      </c>
      <c r="F22" s="933"/>
      <c r="G22" s="933"/>
      <c r="H22" s="933"/>
      <c r="I22" s="2438"/>
      <c r="R22" s="866"/>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2992D3-E53C-927B-43B4-CA1A87C9F91A}"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37323" width="9.140625" hidden="1" customWidth="1"/>
    <col min="2" max="2" style="37324" width="9.140625" hidden="1" customWidth="1"/>
    <col min="3" max="3" style="37325" width="3.7109375" customWidth="1"/>
    <col min="4" max="4" style="31550" width="6.28125" customWidth="1"/>
    <col min="5" max="6" style="31550" width="64.140625" customWidth="1"/>
    <col min="7" max="7" style="31550" width="141.140625" customWidth="1"/>
    <col min="8" max="8" style="31550" width="10.57421875"/>
    <col min="9" max="10" style="31551" width="10.57421875"/>
    <col min="11" max="16" style="31550" width="10.57421875"/>
  </cols>
  <sheetData>
    <row customHeight="1" ht="14.25" hidden="1">
      <c r="M1" s="616"/>
      <c r="N1" s="616"/>
      <c r="P1" s="616"/>
    </row>
    <row customHeight="1" ht="14.25" hidden="1"/>
    <row customHeight="1" ht="14.25" hidden="1"/>
    <row customHeight="1" ht="3">
      <c r="C4" s="458"/>
      <c r="D4" s="445"/>
      <c r="E4" s="445"/>
      <c r="F4" s="446"/>
      <c r="G4" s="446"/>
    </row>
    <row customHeight="1" ht="27.75">
      <c r="C5" s="458"/>
      <c r="D5" s="271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720"/>
      <c r="F5" s="2720"/>
      <c r="G5" s="2721"/>
    </row>
    <row s="31547" customFormat="1" customHeight="1" ht="18">
      <c r="A6" s="1243"/>
      <c r="B6" s="778"/>
      <c r="C6" s="737"/>
      <c r="D6" s="2722" t="str">
        <f>IF(org=0,"Не определено",org)</f>
        <v>АО "Мурманэнергосбыт"</v>
      </c>
      <c r="E6" s="2723"/>
      <c r="F6" s="2723"/>
      <c r="G6" s="2724"/>
      <c r="I6" s="861"/>
      <c r="J6" s="861"/>
    </row>
    <row customHeight="1" ht="14.25">
      <c r="C7" s="458"/>
      <c r="D7" s="445"/>
      <c r="E7" s="457"/>
      <c r="F7" s="1113"/>
      <c r="G7" s="554"/>
    </row>
    <row s="32343" customFormat="1" customHeight="1" ht="0.75">
      <c r="A8" s="2035"/>
      <c r="B8" s="1523"/>
      <c r="C8" s="737"/>
      <c r="D8" s="724"/>
      <c r="E8" s="750"/>
      <c r="F8" s="1113"/>
      <c r="G8" s="554"/>
      <c r="I8" s="1990"/>
      <c r="J8" s="1990"/>
    </row>
    <row customHeight="1" ht="14.25">
      <c r="C9" s="458"/>
      <c r="D9" s="2482" t="s">
        <v>341</v>
      </c>
      <c r="E9" s="2482"/>
      <c r="F9" s="2482"/>
      <c r="G9" s="2725" t="s">
        <v>342</v>
      </c>
    </row>
    <row customHeight="1" ht="14.25">
      <c r="C10" s="458"/>
      <c r="D10" s="467" t="s">
        <v>87</v>
      </c>
      <c r="E10" s="470" t="s">
        <v>343</v>
      </c>
      <c r="F10" s="470" t="s">
        <v>431</v>
      </c>
      <c r="G10" s="2725"/>
    </row>
    <row customHeight="1" ht="12" hidden="1">
      <c r="C11" s="458"/>
      <c r="D11" s="448"/>
      <c r="E11" s="448"/>
      <c r="F11" s="448"/>
      <c r="G11" s="448"/>
    </row>
    <row customHeight="1" ht="62.25">
      <c r="A12" s="553"/>
      <c r="C12" s="458"/>
      <c r="D12" s="509">
        <v>1</v>
      </c>
      <c r="E12" s="55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559" t="s">
        <v>347</v>
      </c>
      <c r="G12" s="513"/>
    </row>
    <row customHeight="1" ht="22.5">
      <c r="A13" s="553"/>
      <c r="C13" s="458"/>
      <c r="D13" s="509" t="s">
        <v>980</v>
      </c>
      <c r="E13" s="55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559" t="s">
        <v>347</v>
      </c>
      <c r="G13" s="513"/>
    </row>
    <row customHeight="1" ht="14.25">
      <c r="A14" s="553"/>
      <c r="C14" s="458"/>
      <c r="D14" s="509" t="s">
        <v>1016</v>
      </c>
      <c r="E14" s="556"/>
      <c r="F14" s="574"/>
      <c r="G14" s="243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553"/>
      <c r="C15" s="458"/>
      <c r="D15" s="471"/>
      <c r="E15" s="710" t="s">
        <v>1076</v>
      </c>
      <c r="F15" s="562"/>
      <c r="G15" s="2438"/>
    </row>
    <row customHeight="1" ht="14.25">
      <c r="A16" s="553"/>
      <c r="C16" s="458"/>
      <c r="D16" s="509" t="s">
        <v>982</v>
      </c>
      <c r="E16" s="55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559" t="s">
        <v>347</v>
      </c>
      <c r="G16" s="698"/>
    </row>
    <row customHeight="1" ht="14.25">
      <c r="A17" s="553"/>
      <c r="C17" s="458"/>
      <c r="D17" s="509" t="s">
        <v>1024</v>
      </c>
      <c r="E17" s="556"/>
      <c r="F17" s="746"/>
      <c r="G17" s="243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row>
    <row s="37302" customFormat="1" customHeight="1" ht="21">
      <c r="A18" s="704"/>
      <c r="B18" s="508"/>
      <c r="C18" s="668"/>
      <c r="D18" s="708"/>
      <c r="E18" s="710" t="s">
        <v>1077</v>
      </c>
      <c r="F18" s="699"/>
      <c r="G18" s="2438"/>
      <c r="I18" s="711"/>
      <c r="J18" s="711"/>
    </row>
    <row s="31547" customFormat="1" customHeight="1" ht="256.5" hidden="1">
      <c r="A19" s="704"/>
      <c r="B19" s="778"/>
      <c r="C19" s="737"/>
      <c r="D19" s="1245" t="s">
        <v>984</v>
      </c>
      <c r="E19" s="1244" t="s">
        <v>1078</v>
      </c>
      <c r="F19" s="746"/>
      <c r="G19" s="698" t="s">
        <v>1079</v>
      </c>
      <c r="I19" s="861"/>
      <c r="J19" s="861"/>
    </row>
    <row s="37302" customFormat="1" customHeight="1" ht="14.25">
      <c r="A20" s="704"/>
      <c r="B20" s="508"/>
      <c r="C20" s="668"/>
      <c r="D20" s="1246">
        <v>2</v>
      </c>
      <c r="E20" s="691" t="s">
        <v>1080</v>
      </c>
      <c r="F20" s="559" t="s">
        <v>347</v>
      </c>
      <c r="G20" s="698"/>
      <c r="I20" s="711"/>
      <c r="J20" s="711"/>
    </row>
    <row s="37302" customFormat="1" customHeight="1" ht="18.75" hidden="1">
      <c r="A21" s="704"/>
      <c r="B21" s="508"/>
      <c r="C21" s="668"/>
      <c r="D21" s="694" t="s">
        <v>910</v>
      </c>
      <c r="E21" s="693"/>
      <c r="F21" s="692"/>
      <c r="G21" s="702"/>
      <c r="H21" s="695"/>
      <c r="I21" s="711"/>
      <c r="J21" s="711"/>
    </row>
    <row customHeight="1" ht="15">
      <c r="A22" s="553"/>
      <c r="C22" s="458"/>
      <c r="D22" s="471"/>
      <c r="E22" s="564" t="s">
        <v>363</v>
      </c>
      <c r="F22" s="699"/>
      <c r="G22" s="700"/>
    </row>
    <row s="32343" customFormat="1" customHeight="1" ht="22.5" hidden="1">
      <c r="A23" s="704"/>
      <c r="B23" s="1523"/>
      <c r="C23" s="737"/>
      <c r="D23" s="2039" t="s">
        <v>102</v>
      </c>
      <c r="E23" s="558" t="s">
        <v>1081</v>
      </c>
      <c r="F23" s="2036" t="s">
        <v>347</v>
      </c>
      <c r="G23" s="706"/>
      <c r="I23" s="1990"/>
      <c r="J23" s="1990"/>
    </row>
    <row s="32343" customFormat="1" customHeight="1" ht="14.25" hidden="1">
      <c r="A24" s="704"/>
      <c r="B24" s="1523"/>
      <c r="C24" s="737"/>
      <c r="D24" s="2039" t="s">
        <v>663</v>
      </c>
      <c r="E24" s="2038" t="s">
        <v>1082</v>
      </c>
      <c r="F24" s="2036" t="s">
        <v>347</v>
      </c>
      <c r="G24" s="698"/>
      <c r="I24" s="1990"/>
      <c r="J24" s="1990"/>
    </row>
    <row s="32343" customFormat="1" customHeight="1" ht="14.25" hidden="1">
      <c r="A25" s="704"/>
      <c r="B25" s="1523"/>
      <c r="C25" s="737"/>
      <c r="D25" s="2039" t="s">
        <v>666</v>
      </c>
      <c r="E25" s="556"/>
      <c r="F25" s="746"/>
      <c r="G25" s="2436" t="s">
        <v>1083</v>
      </c>
      <c r="I25" s="1990"/>
      <c r="J25" s="1990"/>
    </row>
    <row s="32343" customFormat="1" customHeight="1" ht="22.5" hidden="1">
      <c r="A26" s="704"/>
      <c r="B26" s="1523"/>
      <c r="C26" s="737"/>
      <c r="D26" s="708"/>
      <c r="E26" s="710" t="s">
        <v>1084</v>
      </c>
      <c r="F26" s="699"/>
      <c r="G26" s="2438"/>
      <c r="I26" s="1990"/>
      <c r="J26" s="1990"/>
    </row>
    <row customHeight="1" ht="3"/>
    <row customHeight="1" ht="14.25">
      <c r="D28" s="697"/>
      <c r="E28" s="696"/>
      <c r="F28" s="676"/>
      <c r="G28" s="676"/>
      <c r="H28" s="676"/>
      <c r="I28" s="676"/>
      <c r="J28" s="676"/>
      <c r="K28" s="676"/>
      <c r="L28" s="676"/>
      <c r="M28" s="676"/>
      <c r="N28" s="676"/>
      <c r="O28" s="676"/>
      <c r="P28" s="676"/>
    </row>
    <row customHeight="1" ht="14.25">
      <c r="D29" s="697"/>
      <c r="E29" s="943"/>
    </row>
    <row r="31" customHeight="1" ht="14.25">
      <c r="E31" s="1119"/>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2D82F-284E-216F-3394-177634936994}" mc:Ignorable="x14ac xr xr2 xr3">
  <sheetPr>
    <tabColor theme="6" tint="0.4"/>
  </sheetPr>
  <dimension ref="A1:L47"/>
  <sheetViews>
    <sheetView topLeftCell="A1" showGridLines="0" zoomScale="90" workbookViewId="0">
      <selection activeCell="G44" sqref="G44"/>
    </sheetView>
  </sheetViews>
  <sheetFormatPr defaultColWidth="10.57421875" customHeight="1" defaultRowHeight="14.25"/>
  <cols>
    <col min="1" max="1" style="32298" width="9.140625" hidden="1" customWidth="1"/>
    <col min="2" max="2" style="37324" width="9.140625" hidden="1" customWidth="1"/>
    <col min="3" max="3" style="37325" width="3.7109375" customWidth="1"/>
    <col min="4" max="4" style="31550" width="6.28125" customWidth="1"/>
    <col min="5" max="5" style="31550" width="63.421875" customWidth="1"/>
    <col min="6" max="6" style="31550" width="1.7109375" hidden="1" customWidth="1"/>
    <col min="7" max="8" style="31550" width="35.7109375" customWidth="1"/>
    <col min="9" max="9" style="31550" width="91.57421875" customWidth="1"/>
    <col min="10" max="10" style="31550" width="68.8515625" customWidth="1"/>
    <col min="11" max="12" style="31551" width="10.57421875"/>
  </cols>
  <sheetData>
    <row customHeight="1" ht="14.25" hidden="1"/>
    <row s="32343" customFormat="1" customHeight="1" ht="18.75" hidden="1">
      <c r="A2" s="2049"/>
      <c r="B2" s="1523"/>
      <c r="C2" s="2096" t="s">
        <v>103</v>
      </c>
      <c r="D2" s="2039"/>
      <c r="E2" s="560"/>
      <c r="F2" s="2036"/>
      <c r="G2" s="2036" t="s">
        <v>347</v>
      </c>
      <c r="H2" s="1524"/>
      <c r="K2" s="1990"/>
      <c r="L2" s="1990"/>
    </row>
    <row s="32343" customFormat="1" customHeight="1" ht="14.25" hidden="1">
      <c r="A3" s="1728"/>
      <c r="B3" s="1523"/>
      <c r="C3" s="705"/>
      <c r="K3" s="1990"/>
      <c r="L3" s="1990"/>
    </row>
    <row s="32343" customFormat="1" customHeight="1" ht="18.75" hidden="1">
      <c r="A4" s="2049"/>
      <c r="B4" s="1523"/>
      <c r="C4" s="2096" t="s">
        <v>103</v>
      </c>
      <c r="D4" s="2039"/>
      <c r="E4" s="566" t="s">
        <v>1085</v>
      </c>
      <c r="F4" s="2036"/>
      <c r="G4" s="618"/>
      <c r="H4" s="2036" t="s">
        <v>347</v>
      </c>
      <c r="K4" s="1990"/>
      <c r="L4" s="1990"/>
    </row>
    <row s="32343" customFormat="1" customHeight="1" ht="14.25" hidden="1">
      <c r="A5" s="1728"/>
      <c r="B5" s="1523"/>
      <c r="C5" s="705"/>
      <c r="K5" s="1990"/>
      <c r="L5" s="1990"/>
    </row>
    <row s="32343" customFormat="1" customHeight="1" ht="18.75" hidden="1">
      <c r="A6" s="2049"/>
      <c r="B6" s="1523"/>
      <c r="C6" s="2096" t="s">
        <v>103</v>
      </c>
      <c r="D6" s="2039"/>
      <c r="E6" s="567" t="s">
        <v>1086</v>
      </c>
      <c r="F6" s="2036"/>
      <c r="G6" s="618"/>
      <c r="H6" s="2036" t="s">
        <v>347</v>
      </c>
      <c r="K6" s="1990"/>
      <c r="L6" s="1990"/>
    </row>
    <row s="32343" customFormat="1" customHeight="1" ht="14.25" hidden="1">
      <c r="A7" s="1728"/>
      <c r="B7" s="1523"/>
      <c r="C7" s="705"/>
      <c r="K7" s="1990"/>
      <c r="L7" s="1990"/>
    </row>
    <row s="32343" customFormat="1" customHeight="1" ht="18.75" hidden="1">
      <c r="A8" s="2049"/>
      <c r="B8" s="1523"/>
      <c r="C8" s="2096" t="s">
        <v>103</v>
      </c>
      <c r="D8" s="2039"/>
      <c r="E8" s="567" t="s">
        <v>1087</v>
      </c>
      <c r="F8" s="2036"/>
      <c r="G8" s="618"/>
      <c r="H8" s="2036" t="s">
        <v>347</v>
      </c>
      <c r="K8" s="1990"/>
      <c r="L8" s="1990"/>
    </row>
    <row s="32343" customFormat="1" customHeight="1" ht="14.25" hidden="1">
      <c r="A9" s="1728"/>
      <c r="B9" s="1523"/>
      <c r="C9" s="705"/>
      <c r="K9" s="1990"/>
      <c r="L9" s="1990"/>
    </row>
    <row s="32343" customFormat="1" customHeight="1" ht="18.75" hidden="1">
      <c r="A10" s="2049"/>
      <c r="B10" s="1523"/>
      <c r="C10" s="2096" t="s">
        <v>103</v>
      </c>
      <c r="D10" s="2039"/>
      <c r="E10" s="567" t="s">
        <v>1088</v>
      </c>
      <c r="F10" s="2036"/>
      <c r="G10" s="2040"/>
      <c r="H10" s="2036" t="s">
        <v>347</v>
      </c>
      <c r="K10" s="1990"/>
      <c r="L10" s="1990" t="s">
        <v>1089</v>
      </c>
    </row>
    <row customHeight="1" ht="14.25" hidden="1"/>
    <row customHeight="1" ht="14.25" hidden="1"/>
    <row customHeight="1" ht="14.25">
      <c r="C13" s="458"/>
      <c r="D13" s="445"/>
      <c r="E13" s="445"/>
      <c r="F13" s="445"/>
      <c r="G13" s="445"/>
      <c r="H13" s="446"/>
      <c r="I13" s="446"/>
    </row>
    <row customHeight="1" ht="27.75">
      <c r="C14" s="458"/>
      <c r="D14" s="271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720"/>
      <c r="F14" s="2720"/>
      <c r="G14" s="2720"/>
      <c r="H14" s="2721"/>
      <c r="J14" s="1997"/>
    </row>
    <row s="32343" customFormat="1" customHeight="1" ht="14.25">
      <c r="A15" s="1728"/>
      <c r="B15" s="1523"/>
      <c r="C15" s="737"/>
      <c r="D15" s="2722" t="str">
        <f>IF(org=0,"Не определено",org)</f>
        <v>АО "Мурманэнергосбыт"</v>
      </c>
      <c r="E15" s="2723"/>
      <c r="F15" s="2723"/>
      <c r="G15" s="2723"/>
      <c r="H15" s="2724"/>
      <c r="J15" s="1213"/>
      <c r="K15" s="1990"/>
      <c r="L15" s="1990"/>
    </row>
    <row customHeight="1" ht="14.25">
      <c r="C16" s="458"/>
      <c r="D16" s="445"/>
      <c r="E16" s="457"/>
      <c r="F16" s="457"/>
      <c r="G16" s="457"/>
      <c r="H16" s="1113"/>
      <c r="I16" s="554"/>
    </row>
    <row s="32343" customFormat="1" customHeight="1" ht="14.25" hidden="1">
      <c r="A17" s="1728"/>
      <c r="B17" s="1523"/>
      <c r="C17" s="737"/>
      <c r="D17" s="724"/>
      <c r="E17" s="750"/>
      <c r="F17" s="750"/>
      <c r="G17" s="750"/>
      <c r="H17" s="1113"/>
      <c r="I17" s="554"/>
      <c r="K17" s="1990"/>
      <c r="L17" s="1990"/>
    </row>
    <row customHeight="1" ht="21">
      <c r="C18" s="458"/>
      <c r="D18" s="2482" t="s">
        <v>341</v>
      </c>
      <c r="E18" s="2482"/>
      <c r="F18" s="2482"/>
      <c r="G18" s="2482"/>
      <c r="H18" s="2482"/>
      <c r="I18" s="2725" t="s">
        <v>342</v>
      </c>
    </row>
    <row customHeight="1" ht="21">
      <c r="C19" s="458"/>
      <c r="D19" s="467" t="s">
        <v>87</v>
      </c>
      <c r="E19" s="470" t="s">
        <v>343</v>
      </c>
      <c r="F19" s="470"/>
      <c r="G19" s="470" t="s">
        <v>344</v>
      </c>
      <c r="H19" s="470" t="s">
        <v>431</v>
      </c>
      <c r="I19" s="2725"/>
    </row>
    <row customHeight="1" ht="12" hidden="1">
      <c r="C20" s="458"/>
      <c r="D20" s="448"/>
      <c r="E20" s="448"/>
      <c r="F20" s="448"/>
      <c r="G20" s="448"/>
      <c r="H20" s="448"/>
      <c r="I20" s="448"/>
    </row>
    <row customHeight="1" ht="14.25">
      <c r="A21" s="2049"/>
      <c r="C21" s="458"/>
      <c r="D21" s="509">
        <v>1</v>
      </c>
      <c r="E21" s="2727" t="s">
        <v>1090</v>
      </c>
      <c r="F21" s="2727"/>
      <c r="G21" s="2727"/>
      <c r="H21" s="2727"/>
      <c r="I21" s="569"/>
    </row>
    <row customHeight="1" ht="20.25">
      <c r="A22" s="2049"/>
      <c r="C22" s="458"/>
      <c r="D22" s="509" t="s">
        <v>980</v>
      </c>
      <c r="E22" s="555" t="s">
        <v>1091</v>
      </c>
      <c r="F22" s="559"/>
      <c r="G22" s="23628">
        <v>45063</v>
      </c>
      <c r="H22" s="559" t="s">
        <v>347</v>
      </c>
      <c r="I22" s="513" t="s">
        <v>1092</v>
      </c>
    </row>
    <row customHeight="1" ht="45">
      <c r="A23" s="2049"/>
      <c r="C23" s="458"/>
      <c r="D23" s="509" t="s">
        <v>982</v>
      </c>
      <c r="E23" s="555" t="s">
        <v>1093</v>
      </c>
      <c r="F23" s="559"/>
      <c r="G23" s="23629" t="s">
        <v>1094</v>
      </c>
      <c r="H23" s="23630" t="s">
        <v>1095</v>
      </c>
      <c r="I23" s="619" t="s">
        <v>1096</v>
      </c>
    </row>
    <row customHeight="1" ht="14.25">
      <c r="A24" s="2049"/>
      <c r="B24" s="508">
        <v>3</v>
      </c>
      <c r="C24" s="458"/>
      <c r="D24" s="509">
        <v>2</v>
      </c>
      <c r="E24" s="58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559"/>
      <c r="G24" s="559" t="s">
        <v>347</v>
      </c>
      <c r="H24" s="23630" t="s">
        <v>1097</v>
      </c>
      <c r="I24" s="620" t="s">
        <v>847</v>
      </c>
    </row>
    <row customHeight="1" ht="46.5">
      <c r="A25" s="2049"/>
      <c r="C25" s="458"/>
      <c r="D25" s="509">
        <v>3</v>
      </c>
      <c r="E25" s="272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726"/>
      <c r="G25" s="2726"/>
      <c r="H25" s="2726"/>
      <c r="I25" s="617"/>
    </row>
    <row customHeight="1" ht="14.25">
      <c r="A26" s="2049"/>
      <c r="C26" s="458"/>
      <c r="D26" s="509" t="s">
        <v>365</v>
      </c>
      <c r="E26" s="560" t="s">
        <v>1098</v>
      </c>
      <c r="F26" s="559"/>
      <c r="G26" s="559" t="s">
        <v>347</v>
      </c>
      <c r="H26" s="23630" t="s">
        <v>1099</v>
      </c>
      <c r="I26" s="2436" t="s">
        <v>1100</v>
      </c>
    </row>
    <row s="37344" customFormat="1" customHeight="1" ht="18.75">
      <c r="A27" s="23636"/>
      <c r="B27" s="19231"/>
      <c r="C27" s="23637" t="s">
        <v>103</v>
      </c>
      <c r="D27" s="23638" t="s">
        <v>373</v>
      </c>
      <c r="E27" s="23639" t="s">
        <v>1101</v>
      </c>
      <c r="F27" s="19285"/>
      <c r="G27" s="19285" t="s">
        <v>347</v>
      </c>
      <c r="H27" s="23640" t="s">
        <v>1099</v>
      </c>
      <c r="I27" s="18868"/>
      <c r="J27" s="18868"/>
      <c r="K27" s="23641"/>
      <c r="L27" s="23641"/>
    </row>
    <row s="37344" customFormat="1" customHeight="1" ht="18.75">
      <c r="A28" s="23636"/>
      <c r="B28" s="19231"/>
      <c r="C28" s="23637" t="s">
        <v>103</v>
      </c>
      <c r="D28" s="23638" t="s">
        <v>375</v>
      </c>
      <c r="E28" s="23639" t="s">
        <v>1102</v>
      </c>
      <c r="F28" s="19285"/>
      <c r="G28" s="19285" t="s">
        <v>347</v>
      </c>
      <c r="H28" s="23640" t="s">
        <v>1099</v>
      </c>
      <c r="I28" s="18868"/>
      <c r="J28" s="18868"/>
      <c r="K28" s="23641"/>
      <c r="L28" s="23641"/>
    </row>
    <row s="37344" customFormat="1" customHeight="1" ht="18.75">
      <c r="A29" s="23636"/>
      <c r="B29" s="19231"/>
      <c r="C29" s="23637" t="s">
        <v>103</v>
      </c>
      <c r="D29" s="23638" t="s">
        <v>377</v>
      </c>
      <c r="E29" s="23639" t="s">
        <v>1103</v>
      </c>
      <c r="F29" s="19285"/>
      <c r="G29" s="19285" t="s">
        <v>347</v>
      </c>
      <c r="H29" s="23640" t="s">
        <v>1099</v>
      </c>
      <c r="I29" s="18868"/>
      <c r="J29" s="18868"/>
      <c r="K29" s="23641"/>
      <c r="L29" s="23641"/>
    </row>
    <row s="37344" customFormat="1" customHeight="1" ht="18.75">
      <c r="A30" s="23636"/>
      <c r="B30" s="19231"/>
      <c r="C30" s="23637" t="s">
        <v>103</v>
      </c>
      <c r="D30" s="23638" t="s">
        <v>875</v>
      </c>
      <c r="E30" s="23639" t="s">
        <v>1104</v>
      </c>
      <c r="F30" s="19285"/>
      <c r="G30" s="19285" t="s">
        <v>347</v>
      </c>
      <c r="H30" s="23640" t="s">
        <v>1099</v>
      </c>
      <c r="I30" s="18868"/>
      <c r="J30" s="18868"/>
      <c r="K30" s="23641"/>
      <c r="L30" s="23641"/>
    </row>
    <row customHeight="1" ht="15">
      <c r="A31" s="2049" t="s">
        <v>118</v>
      </c>
      <c r="C31" s="458"/>
      <c r="D31" s="471"/>
      <c r="E31" s="564" t="s">
        <v>363</v>
      </c>
      <c r="F31" s="565"/>
      <c r="G31" s="565"/>
      <c r="H31" s="562"/>
      <c r="I31" s="2438"/>
    </row>
    <row customHeight="1" ht="38.25">
      <c r="A32" s="2049"/>
      <c r="B32" s="508">
        <v>3</v>
      </c>
      <c r="C32" s="458"/>
      <c r="D32" s="509">
        <v>4</v>
      </c>
      <c r="E32" s="272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32" s="2726"/>
      <c r="G32" s="2726"/>
      <c r="H32" s="2726"/>
      <c r="I32" s="617"/>
    </row>
    <row customHeight="1" ht="20.25">
      <c r="A33" s="2049"/>
      <c r="C33" s="458"/>
      <c r="D33" s="509" t="s">
        <v>708</v>
      </c>
      <c r="E33" s="566" t="s">
        <v>1085</v>
      </c>
      <c r="F33" s="559"/>
      <c r="G33" s="618" t="s">
        <v>1105</v>
      </c>
      <c r="H33" s="559" t="s">
        <v>347</v>
      </c>
      <c r="I33" s="2436" t="s">
        <v>1106</v>
      </c>
    </row>
    <row s="37344" customFormat="1" customHeight="1" ht="18.75">
      <c r="A34" s="23636"/>
      <c r="B34" s="19231"/>
      <c r="C34" s="23637" t="s">
        <v>103</v>
      </c>
      <c r="D34" s="23638" t="s">
        <v>751</v>
      </c>
      <c r="E34" s="23643" t="s">
        <v>1085</v>
      </c>
      <c r="F34" s="19285"/>
      <c r="G34" s="23644" t="s">
        <v>1107</v>
      </c>
      <c r="H34" s="19285" t="s">
        <v>347</v>
      </c>
      <c r="I34" s="18868"/>
      <c r="J34" s="18868"/>
      <c r="K34" s="23641"/>
      <c r="L34" s="23641"/>
    </row>
    <row customHeight="1" ht="15">
      <c r="A35" s="2049" t="s">
        <v>102</v>
      </c>
      <c r="C35" s="458"/>
      <c r="D35" s="471"/>
      <c r="E35" s="564" t="s">
        <v>363</v>
      </c>
      <c r="F35" s="565"/>
      <c r="G35" s="565"/>
      <c r="H35" s="562"/>
      <c r="I35" s="2438"/>
    </row>
    <row customHeight="1" ht="30">
      <c r="A36" s="2049"/>
      <c r="B36" s="508">
        <v>3</v>
      </c>
      <c r="C36" s="458"/>
      <c r="D36" s="509">
        <v>5</v>
      </c>
      <c r="E36" s="272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6" s="2726"/>
      <c r="G36" s="2726"/>
      <c r="H36" s="2726"/>
      <c r="I36" s="617"/>
    </row>
    <row customHeight="1" ht="26.25">
      <c r="A37" s="2049"/>
      <c r="C37" s="458"/>
      <c r="D37" s="509" t="s">
        <v>354</v>
      </c>
      <c r="E37" s="26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7" s="2668"/>
      <c r="G37" s="2668"/>
      <c r="H37" s="2668"/>
      <c r="I37" s="617"/>
    </row>
    <row customHeight="1" ht="14.25">
      <c r="A38" s="2049"/>
      <c r="C38" s="458"/>
      <c r="D38" s="509" t="s">
        <v>1108</v>
      </c>
      <c r="E38" s="567" t="s">
        <v>1086</v>
      </c>
      <c r="F38" s="559"/>
      <c r="G38" s="618" t="s">
        <v>1109</v>
      </c>
      <c r="H38" s="559" t="s">
        <v>347</v>
      </c>
      <c r="I38" s="2436" t="s">
        <v>1110</v>
      </c>
    </row>
    <row customHeight="1" ht="15">
      <c r="A39" s="2049" t="s">
        <v>89</v>
      </c>
      <c r="C39" s="458"/>
      <c r="D39" s="471"/>
      <c r="E39" s="565" t="s">
        <v>363</v>
      </c>
      <c r="F39" s="561"/>
      <c r="G39" s="561"/>
      <c r="H39" s="562"/>
      <c r="I39" s="2438"/>
    </row>
    <row customHeight="1" ht="24">
      <c r="A40" s="2049"/>
      <c r="C40" s="458"/>
      <c r="D40" s="509" t="s">
        <v>837</v>
      </c>
      <c r="E40" s="26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40" s="2668"/>
      <c r="G40" s="2668"/>
      <c r="H40" s="2668"/>
      <c r="I40" s="617"/>
    </row>
    <row customHeight="1" ht="14.25">
      <c r="A41" s="2049"/>
      <c r="C41" s="458"/>
      <c r="D41" s="509" t="s">
        <v>1111</v>
      </c>
      <c r="E41" s="567" t="s">
        <v>1087</v>
      </c>
      <c r="F41" s="559"/>
      <c r="G41" s="618" t="s">
        <v>1112</v>
      </c>
      <c r="H41" s="559" t="s">
        <v>347</v>
      </c>
      <c r="I41" s="2418" t="s">
        <v>1113</v>
      </c>
    </row>
    <row customHeight="1" ht="15">
      <c r="A42" s="2049" t="s">
        <v>90</v>
      </c>
      <c r="C42" s="458"/>
      <c r="D42" s="471"/>
      <c r="E42" s="565" t="s">
        <v>363</v>
      </c>
      <c r="F42" s="561"/>
      <c r="G42" s="561"/>
      <c r="H42" s="562"/>
      <c r="I42" s="2418"/>
    </row>
    <row customHeight="1" ht="26.25">
      <c r="A43" s="2049"/>
      <c r="C43" s="458"/>
      <c r="D43" s="509" t="s">
        <v>838</v>
      </c>
      <c r="E43" s="26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43" s="2668"/>
      <c r="G43" s="2668"/>
      <c r="H43" s="2668"/>
      <c r="I43" s="617"/>
    </row>
    <row customHeight="1" ht="14.25">
      <c r="A44" s="2049"/>
      <c r="C44" s="458"/>
      <c r="D44" s="509" t="s">
        <v>839</v>
      </c>
      <c r="E44" s="567" t="s">
        <v>1088</v>
      </c>
      <c r="F44" s="559"/>
      <c r="G44" s="568" t="s">
        <v>1114</v>
      </c>
      <c r="H44" s="559" t="s">
        <v>347</v>
      </c>
      <c r="I44" s="2436" t="s">
        <v>1115</v>
      </c>
      <c r="L44" s="517" t="s">
        <v>1089</v>
      </c>
    </row>
    <row customHeight="1" ht="15">
      <c r="A45" s="2049" t="s">
        <v>119</v>
      </c>
      <c r="C45" s="458"/>
      <c r="D45" s="471"/>
      <c r="E45" s="565" t="s">
        <v>363</v>
      </c>
      <c r="F45" s="561"/>
      <c r="G45" s="561"/>
      <c r="H45" s="562"/>
      <c r="I45" s="2438"/>
    </row>
    <row s="37356" customFormat="1" customHeight="1" ht="3">
      <c r="A46" s="2049"/>
      <c r="K46" s="557"/>
      <c r="L46" s="557"/>
    </row>
    <row customHeight="1" ht="24.75">
      <c r="D47" s="2047" t="s">
        <v>759</v>
      </c>
      <c r="E47" s="252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7" s="2526"/>
      <c r="G47" s="2526"/>
      <c r="H47" s="2526"/>
      <c r="I47" s="2526"/>
    </row>
  </sheetData>
  <sheetProtection formatColumns="0" formatRows="0" autoFilter="0" sort="0" insertRows="0" insertColumns="1" deleteRows="0" deleteColumns="0"/>
  <mergeCells count="17">
    <mergeCell ref="E47:I47"/>
    <mergeCell ref="E37:H37"/>
    <mergeCell ref="E40:H40"/>
    <mergeCell ref="E43:H43"/>
    <mergeCell ref="I38:I39"/>
    <mergeCell ref="I41:I42"/>
    <mergeCell ref="I44:I45"/>
    <mergeCell ref="I33:I35"/>
    <mergeCell ref="E36:H36"/>
    <mergeCell ref="D14:H14"/>
    <mergeCell ref="D18:H18"/>
    <mergeCell ref="I18:I19"/>
    <mergeCell ref="E21:H21"/>
    <mergeCell ref="E25:H25"/>
    <mergeCell ref="I26:I31"/>
    <mergeCell ref="E32:H32"/>
    <mergeCell ref="D15:H15"/>
  </mergeCells>
  <dataValidations count="4">
    <dataValidation type="textLength" operator="lessThanOrEqual" allowBlank="1" showInputMessage="1" showErrorMessage="1" errorTitle="Ошибка" error="Допускается ввод не более 900 символов!" sqref="I23:I24 I38 G41 I44 I26:I30 E33:E34 G38 E41 I33:I34 E38 I41 G23 E26:E30 I10 E23 G33: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H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50D3492E-3EEB-F3EC-BE86-AAA44EB67B9B}"/>
    <hyperlink ref="H23" r:id="rId3" xr:uid="{93844A1F-51A3-AB34-43E5-91F49834606B}"/>
    <hyperlink ref="H24" r:id="rId4" xr:uid="{82DC8A76-5234-E2A2-D72F-198C3B8F8FC6}"/>
    <hyperlink ref="H26" r:id="rId5" xr:uid="{5D57B5A3-4C03-28AE-3F4D-60304FD41962}"/>
    <hyperlink ref="H27" r:id="rId6" xr:uid="{55CC2A87-C2F2-519D-58A6-A860CEB0FAB7}"/>
    <hyperlink ref="H28" r:id="rId7" xr:uid="{43D992C4-3794-4FA8-176C-4CD87E9B8E86}"/>
    <hyperlink ref="H29" r:id="rId8" xr:uid="{5C716A4E-62A1-B73E-673A-B204ACA0E01F}"/>
    <hyperlink ref="H30" r:id="rId9" xr:uid="{8FFE6C17-6715-6E2F-E7C9-4B9955C15C2E}"/>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E104D-0B81-50A9-B0C2-FF3BC47CD5F4}" mc:Ignorable="x14ac xr xr2 xr3">
  <sheetPr>
    <tabColor theme="6" tint="0.4"/>
  </sheetPr>
  <dimension ref="A1:AG337"/>
  <sheetViews>
    <sheetView topLeftCell="A1" showGridLines="0" zoomScale="90" workbookViewId="0">
      <selection activeCell="A317" sqref="A317:AG318"/>
    </sheetView>
  </sheetViews>
  <sheetFormatPr defaultColWidth="10.57421875" customHeight="1" defaultRowHeight="14.25"/>
  <cols>
    <col min="1" max="2" style="37456" width="25.140625" hidden="1" customWidth="1"/>
    <col min="3" max="3" style="37457" width="9.140625" hidden="1" customWidth="1"/>
    <col min="4" max="4" style="32300" width="3.7109375" customWidth="1"/>
    <col min="5" max="5" style="37458" width="6.28125" customWidth="1"/>
    <col min="6" max="6" style="37458" width="46.7109375" customWidth="1"/>
    <col min="7" max="7" style="37458" width="35.7109375" customWidth="1"/>
    <col min="8" max="8" style="37458" width="3.7109375" customWidth="1"/>
    <col min="9" max="10" style="37458" width="11.7109375" customWidth="1"/>
    <col min="11" max="12" style="37458" width="35.7109375" customWidth="1"/>
    <col min="13" max="13" style="37458" width="84.8515625" customWidth="1"/>
    <col min="14" max="14" style="37458" width="10.57421875"/>
    <col min="15" max="16" style="37459" width="10.57421875"/>
    <col min="17" max="33" style="37458" width="10.57421875"/>
  </cols>
  <sheetData>
    <row s="32343" customFormat="1" customHeight="1" ht="14.25" hidden="1">
      <c r="A1" s="2145"/>
      <c r="B1" s="2145"/>
      <c r="C1" s="730"/>
      <c r="D1" s="705"/>
      <c r="N1" s="2002">
        <f>_xlfn.IFERROR(MATCH("метод экономически обоснованных расходов (затрат)",OFFER_METHOD,0),0)</f>
        <v>0</v>
      </c>
      <c r="O1" s="1990"/>
      <c r="P1" s="1990"/>
      <c r="T1" s="1192"/>
      <c r="AG1" s="616"/>
    </row>
    <row s="32343" customFormat="1" customHeight="1" ht="18.75" hidden="1">
      <c r="A2" s="2146" t="s">
        <v>161</v>
      </c>
      <c r="B2" s="2146" t="s">
        <v>162</v>
      </c>
      <c r="C2" s="730"/>
      <c r="D2" s="705"/>
      <c r="E2" s="1393"/>
      <c r="F2" s="1393"/>
      <c r="G2" s="2689" t="str">
        <f>INDEX(PT_DIFFERENTIATION_NTAR,MATCH(B2,PT_DIFFERENTIATION_NTAR_ID,0))</f>
        <v/>
      </c>
      <c r="H2" s="2231"/>
      <c r="I2" s="2105"/>
      <c r="J2" s="2139"/>
      <c r="K2" s="2232"/>
      <c r="L2" s="2231" t="s">
        <v>347</v>
      </c>
      <c r="M2" s="2242"/>
      <c r="N2" s="695"/>
      <c r="O2" s="1990"/>
      <c r="P2" s="1990"/>
    </row>
    <row s="32343" customFormat="1" customHeight="1" ht="18.75" hidden="1">
      <c r="A3" s="2146"/>
      <c r="B3" s="2146"/>
      <c r="C3" s="730" t="s">
        <v>1116</v>
      </c>
      <c r="D3" s="705"/>
      <c r="E3" s="1393"/>
      <c r="F3" s="1393"/>
      <c r="G3" s="2689"/>
      <c r="H3" s="1866"/>
      <c r="I3" s="1012" t="s">
        <v>1117</v>
      </c>
      <c r="J3" s="932"/>
      <c r="K3" s="1866"/>
      <c r="L3" s="575"/>
      <c r="M3" s="2242"/>
      <c r="N3" s="695"/>
      <c r="O3" s="1990"/>
      <c r="P3" s="1990"/>
    </row>
    <row s="32343" customFormat="1" customHeight="1" ht="14.25" hidden="1">
      <c r="A4" s="2145"/>
      <c r="B4" s="2145"/>
      <c r="C4" s="730"/>
      <c r="D4" s="705"/>
      <c r="N4" s="2002">
        <f>_xlfn.IFERROR(MATCH("метод экономически обоснованных расходов (затрат)",OFFER_METHOD,0),0)</f>
        <v>0</v>
      </c>
      <c r="O4" s="1990"/>
      <c r="P4" s="1990"/>
      <c r="T4" s="1192"/>
      <c r="AG4" s="616"/>
    </row>
    <row s="32343" customFormat="1" customHeight="1" ht="18.75" hidden="1">
      <c r="A5" s="2146" t="s">
        <v>161</v>
      </c>
      <c r="B5" s="2146" t="s">
        <v>162</v>
      </c>
      <c r="C5" s="730"/>
      <c r="D5" s="705"/>
      <c r="E5" s="1393"/>
      <c r="F5" s="1393"/>
      <c r="G5" s="2689" t="str">
        <f>INDEX(PT_DIFFERENTIATION_NTAR,MATCH(B5,PT_DIFFERENTIATION_NTAR_ID,0))</f>
        <v/>
      </c>
      <c r="H5" s="2231"/>
      <c r="I5" s="2105"/>
      <c r="J5" s="2139"/>
      <c r="K5" s="2144"/>
      <c r="L5" s="2231" t="s">
        <v>347</v>
      </c>
      <c r="M5" s="2242"/>
      <c r="N5" s="695"/>
      <c r="O5" s="1990"/>
      <c r="P5" s="1990"/>
    </row>
    <row s="32343" customFormat="1" customHeight="1" ht="18.75" hidden="1">
      <c r="A6" s="2146"/>
      <c r="B6" s="2146"/>
      <c r="C6" s="730" t="s">
        <v>1118</v>
      </c>
      <c r="D6" s="705"/>
      <c r="E6" s="1393"/>
      <c r="F6" s="1393"/>
      <c r="G6" s="2689"/>
      <c r="H6" s="1866"/>
      <c r="I6" s="1012" t="s">
        <v>1117</v>
      </c>
      <c r="J6" s="932"/>
      <c r="K6" s="1866"/>
      <c r="L6" s="575"/>
      <c r="M6" s="2242"/>
      <c r="N6" s="695"/>
      <c r="O6" s="1990"/>
      <c r="P6" s="1990"/>
    </row>
    <row s="32343" customFormat="1" customHeight="1" ht="14.25" hidden="1">
      <c r="A7" s="2145"/>
      <c r="B7" s="2145"/>
      <c r="C7" s="730"/>
      <c r="D7" s="705"/>
      <c r="N7" s="2002">
        <f>_xlfn.IFERROR(MATCH("метод экономически обоснованных расходов (затрат)",OFFER_METHOD,0),0)</f>
        <v>0</v>
      </c>
      <c r="O7" s="1990"/>
      <c r="P7" s="1990"/>
      <c r="T7" s="1192"/>
      <c r="AG7" s="616"/>
    </row>
    <row s="32343" customFormat="1" customHeight="1" ht="56.25" hidden="1">
      <c r="A8" s="2146"/>
      <c r="B8" s="2146"/>
      <c r="C8" s="730"/>
      <c r="D8" s="705"/>
      <c r="E8" s="1393"/>
      <c r="F8" s="1393"/>
      <c r="G8" s="1393"/>
      <c r="H8" s="2137"/>
      <c r="I8" s="2105"/>
      <c r="J8" s="2139"/>
      <c r="K8" s="2232"/>
      <c r="L8" s="2137" t="s">
        <v>347</v>
      </c>
      <c r="M8" s="2242"/>
      <c r="N8" s="695"/>
      <c r="O8" s="1990"/>
      <c r="P8" s="1990"/>
    </row>
    <row customHeight="1" ht="14.25" hidden="1">
      <c r="T9" s="758"/>
      <c r="AG9" s="616"/>
    </row>
    <row s="32343" customFormat="1" customHeight="1" ht="56.25" hidden="1">
      <c r="A10" s="2146"/>
      <c r="B10" s="2146"/>
      <c r="C10" s="730"/>
      <c r="D10" s="705"/>
      <c r="E10" s="1393"/>
      <c r="F10" s="1393"/>
      <c r="G10" s="1393"/>
      <c r="H10" s="2136"/>
      <c r="I10" s="2105"/>
      <c r="J10" s="2139"/>
      <c r="K10" s="2144"/>
      <c r="L10" s="2137" t="s">
        <v>347</v>
      </c>
      <c r="M10" s="2242"/>
      <c r="N10" s="695"/>
      <c r="O10" s="1990"/>
      <c r="P10" s="1990"/>
    </row>
    <row customHeight="1" ht="14.25" hidden="1"/>
    <row customHeight="1" ht="14.25" hidden="1"/>
    <row customHeight="1" ht="6">
      <c r="D13" s="737"/>
      <c r="E13" s="724"/>
      <c r="F13" s="724"/>
      <c r="G13" s="724"/>
      <c r="H13" s="724"/>
      <c r="I13" s="724"/>
      <c r="J13" s="724"/>
      <c r="K13" s="724"/>
      <c r="L13" s="446"/>
      <c r="M13" s="446"/>
    </row>
    <row customHeight="1" ht="14.25">
      <c r="D14" s="737"/>
      <c r="E14" s="272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728"/>
      <c r="G14" s="2728"/>
      <c r="H14" s="2728"/>
      <c r="I14" s="2728"/>
      <c r="J14" s="2728"/>
      <c r="K14" s="2728"/>
      <c r="L14" s="2728"/>
      <c r="M14" s="581"/>
    </row>
    <row customHeight="1" ht="6">
      <c r="D15" s="737"/>
      <c r="E15" s="724"/>
      <c r="F15" s="750"/>
      <c r="G15" s="750"/>
      <c r="H15" s="750"/>
      <c r="I15" s="750"/>
      <c r="J15" s="750"/>
      <c r="K15" s="750"/>
      <c r="L15" s="683"/>
      <c r="M15" s="554"/>
    </row>
    <row customHeight="1" ht="18.75">
      <c r="D16" s="737"/>
      <c r="E16" s="724"/>
      <c r="F16" s="666" t="str">
        <f>"Дата подачи заявления об "&amp;IF(TITLE_DATE_PR_CHANGE="","утверждении","изменении")&amp;" тарифов"</f>
        <v>Дата подачи заявления об изменении тарифов</v>
      </c>
      <c r="G16" s="2519" t="str">
        <f>IF(TITLE_DATE_PR_CHANGE="",IF(TITLE_DATE_PR="","",TITLE_DATE_PR),TITLE_DATE_PR_CHANGE)</f>
        <v>45280</v>
      </c>
      <c r="H16" s="2519"/>
      <c r="I16" s="2519"/>
      <c r="J16" s="2519"/>
      <c r="K16" s="2519"/>
      <c r="L16" s="2519"/>
      <c r="M16" s="759"/>
      <c r="N16" s="687"/>
    </row>
    <row customHeight="1" ht="18.75">
      <c r="D17" s="737"/>
      <c r="E17" s="724"/>
      <c r="F17" s="666" t="str">
        <f>"Номер подачи заявления об "&amp;IF(TITLE_DATE_PR_CHANGE="","утверждении","изменении")&amp;" тарифов"</f>
        <v>Номер подачи заявления об изменении тарифов</v>
      </c>
      <c r="G17" s="2520" t="str">
        <f>IF(TITLE_NUMBER_PR_CHANGE="",IF(TITLE_NUMBER_PR="","",TITLE_NUMBER_PR),TITLE_NUMBER_PR_CHANGE)</f>
        <v>51/16</v>
      </c>
      <c r="H17" s="2520"/>
      <c r="I17" s="2520"/>
      <c r="J17" s="2520"/>
      <c r="K17" s="2520"/>
      <c r="L17" s="2520"/>
      <c r="M17" s="759"/>
      <c r="N17" s="687"/>
    </row>
    <row customHeight="1" ht="14.25">
      <c r="D18" s="737"/>
      <c r="E18" s="724"/>
      <c r="F18" s="750"/>
      <c r="G18" s="750"/>
      <c r="H18" s="750"/>
      <c r="I18" s="750"/>
      <c r="J18" s="750"/>
      <c r="K18" s="750"/>
      <c r="L18" s="1113"/>
      <c r="M18" s="554"/>
    </row>
    <row customHeight="1" ht="21">
      <c r="D19" s="737"/>
      <c r="E19" s="2482" t="s">
        <v>341</v>
      </c>
      <c r="F19" s="2482"/>
      <c r="G19" s="2482"/>
      <c r="H19" s="2482"/>
      <c r="I19" s="2482"/>
      <c r="J19" s="2482"/>
      <c r="K19" s="2482"/>
      <c r="L19" s="2482"/>
      <c r="M19" s="2725" t="s">
        <v>342</v>
      </c>
    </row>
    <row customHeight="1" ht="21">
      <c r="D20" s="737"/>
      <c r="E20" s="2549" t="s">
        <v>87</v>
      </c>
      <c r="F20" s="2493" t="s">
        <v>130</v>
      </c>
      <c r="G20" s="2493" t="s">
        <v>131</v>
      </c>
      <c r="H20" s="2693" t="s">
        <v>1119</v>
      </c>
      <c r="I20" s="2697"/>
      <c r="J20" s="2694"/>
      <c r="K20" s="2493" t="s">
        <v>344</v>
      </c>
      <c r="L20" s="2493" t="s">
        <v>431</v>
      </c>
      <c r="M20" s="2725"/>
    </row>
    <row customHeight="1" ht="21">
      <c r="D21" s="737"/>
      <c r="E21" s="2551"/>
      <c r="F21" s="2494"/>
      <c r="G21" s="2494"/>
      <c r="H21" s="2488" t="s">
        <v>1120</v>
      </c>
      <c r="I21" s="2504"/>
      <c r="J21" s="470" t="s">
        <v>1121</v>
      </c>
      <c r="K21" s="2494"/>
      <c r="L21" s="2494"/>
      <c r="M21" s="2725"/>
    </row>
    <row customHeight="1" ht="12">
      <c r="D22" s="737"/>
      <c r="E22" s="642"/>
      <c r="F22" s="642"/>
      <c r="G22" s="642"/>
      <c r="H22" s="2730"/>
      <c r="I22" s="2730"/>
      <c r="J22" s="642"/>
      <c r="K22" s="642"/>
      <c r="L22" s="642"/>
      <c r="M22" s="642"/>
    </row>
    <row customHeight="1" ht="18.75">
      <c r="A23" s="2146"/>
      <c r="B23" s="2146"/>
      <c r="D23" s="737"/>
      <c r="E23" s="2233" t="s">
        <v>118</v>
      </c>
      <c r="F23" s="2731" t="str">
        <f>"Предлагаемый метод регулирования"&amp;IF(TEMPLATE_SPHERE="HEAT"," в сфере "&amp;TEMPLATE_SPHERE_RUS,"")</f>
        <v>Предлагаемый метод регулирования</v>
      </c>
      <c r="G23" s="2732"/>
      <c r="H23" s="2727"/>
      <c r="I23" s="2727"/>
      <c r="J23" s="2727"/>
      <c r="K23" s="2732" t="s">
        <v>347</v>
      </c>
      <c r="L23" s="2727"/>
      <c r="M23" s="2135"/>
      <c r="N23" s="695"/>
    </row>
    <row customHeight="1" ht="60.75" hidden="1">
      <c r="A24" s="2146" t="s">
        <v>161</v>
      </c>
      <c r="B24" s="2146" t="s">
        <v>162</v>
      </c>
      <c r="D24" s="2729"/>
      <c r="E24" s="2477"/>
      <c r="F24" s="273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89" t="str">
        <f>INDEX(PT_DIFFERENTIATION_NTAR,MATCH(B24,PT_DIFFERENTIATION_NTAR_ID,0))</f>
        <v/>
      </c>
      <c r="H24" s="2229"/>
      <c r="I24" s="2105"/>
      <c r="J24" s="2139"/>
      <c r="K24" s="2232"/>
      <c r="L24" s="2134" t="s">
        <v>347</v>
      </c>
      <c r="M24" s="24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695"/>
    </row>
    <row s="32343" customFormat="1" customHeight="1" ht="18.75" hidden="1">
      <c r="A25" s="2146"/>
      <c r="B25" s="2146"/>
      <c r="C25" s="730" t="s">
        <v>1116</v>
      </c>
      <c r="D25" s="2729"/>
      <c r="E25" s="2477"/>
      <c r="F25" s="2733"/>
      <c r="G25" s="2689"/>
      <c r="H25" s="1866"/>
      <c r="I25" s="1012" t="s">
        <v>1117</v>
      </c>
      <c r="J25" s="932"/>
      <c r="K25" s="1866"/>
      <c r="L25" s="575"/>
      <c r="M25" s="2437"/>
      <c r="N25" s="695"/>
      <c r="O25" s="1990"/>
      <c r="P25" s="1990"/>
    </row>
    <row customHeight="1" ht="0.75" hidden="1">
      <c r="A26" s="2146"/>
      <c r="B26" s="2146"/>
      <c r="C26" s="730" t="s">
        <v>1122</v>
      </c>
      <c r="D26" s="2729"/>
      <c r="E26" s="2477"/>
      <c r="F26" s="2643"/>
      <c r="G26" s="761"/>
      <c r="H26" s="1866"/>
      <c r="I26" s="756"/>
      <c r="J26" s="710"/>
      <c r="K26" s="1866"/>
      <c r="L26" s="562"/>
      <c r="M26" s="2437"/>
      <c r="N26" s="695"/>
    </row>
    <row s="32343" customFormat="1" customHeight="1" ht="45" hidden="1">
      <c r="A27" s="2146" t="s">
        <v>167</v>
      </c>
      <c r="B27" s="2146" t="s">
        <v>168</v>
      </c>
      <c r="C27" s="730"/>
      <c r="D27" s="2734"/>
      <c r="E27" s="2735"/>
      <c r="F27" s="273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689" t="str">
        <f>INDEX(PT_DIFFERENTIATION_NTAR,MATCH(B27,PT_DIFFERENTIATION_NTAR_ID,0))</f>
        <v/>
      </c>
      <c r="H27" s="2229"/>
      <c r="I27" s="2105"/>
      <c r="J27" s="2139"/>
      <c r="K27" s="2232"/>
      <c r="L27" s="2229" t="s">
        <v>347</v>
      </c>
      <c r="M27" s="2437"/>
      <c r="N27" s="695"/>
      <c r="O27" s="1990"/>
      <c r="P27" s="1990"/>
    </row>
    <row s="32343" customFormat="1" customHeight="1" ht="18.75" hidden="1">
      <c r="A28" s="2146"/>
      <c r="B28" s="2146"/>
      <c r="C28" s="730" t="s">
        <v>1116</v>
      </c>
      <c r="D28" s="2734"/>
      <c r="E28" s="2735"/>
      <c r="F28" s="2736"/>
      <c r="G28" s="2689"/>
      <c r="H28" s="1866"/>
      <c r="I28" s="1012" t="s">
        <v>1117</v>
      </c>
      <c r="J28" s="932"/>
      <c r="K28" s="1866"/>
      <c r="L28" s="575"/>
      <c r="M28" s="2437"/>
      <c r="N28" s="695"/>
      <c r="O28" s="1990"/>
      <c r="P28" s="1990"/>
    </row>
    <row s="32343" customFormat="1" customHeight="1" ht="0.75" hidden="1">
      <c r="A29" s="2146"/>
      <c r="B29" s="2146"/>
      <c r="C29" s="730" t="s">
        <v>1122</v>
      </c>
      <c r="D29" s="2734"/>
      <c r="E29" s="2477"/>
      <c r="F29" s="2643"/>
      <c r="G29" s="761"/>
      <c r="H29" s="1866"/>
      <c r="I29" s="1012"/>
      <c r="J29" s="932"/>
      <c r="K29" s="1866"/>
      <c r="L29" s="575"/>
      <c r="M29" s="2437"/>
      <c r="N29" s="695"/>
      <c r="O29" s="1990"/>
      <c r="P29" s="1990"/>
    </row>
    <row s="32343" customFormat="1" customHeight="1" ht="45" hidden="1">
      <c r="A30" s="2146" t="s">
        <v>173</v>
      </c>
      <c r="B30" s="2146" t="s">
        <v>174</v>
      </c>
      <c r="C30" s="730"/>
      <c r="D30" s="2734"/>
      <c r="E30" s="2477"/>
      <c r="F30" s="264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89" t="str">
        <f>INDEX(PT_DIFFERENTIATION_NTAR,MATCH(B30,PT_DIFFERENTIATION_NTAR_ID,0))</f>
        <v/>
      </c>
      <c r="H30" s="2229"/>
      <c r="I30" s="2105"/>
      <c r="J30" s="2139"/>
      <c r="K30" s="2232"/>
      <c r="L30" s="2229" t="s">
        <v>347</v>
      </c>
      <c r="M30" s="2437"/>
      <c r="N30" s="695"/>
      <c r="O30" s="1990"/>
      <c r="P30" s="1990"/>
    </row>
    <row s="32343" customFormat="1" customHeight="1" ht="18.75" hidden="1">
      <c r="A31" s="2146"/>
      <c r="B31" s="2146"/>
      <c r="C31" s="730" t="s">
        <v>1116</v>
      </c>
      <c r="D31" s="2734"/>
      <c r="E31" s="2477"/>
      <c r="F31" s="2643"/>
      <c r="G31" s="2689"/>
      <c r="H31" s="1866"/>
      <c r="I31" s="1012" t="s">
        <v>1117</v>
      </c>
      <c r="J31" s="932"/>
      <c r="K31" s="1866"/>
      <c r="L31" s="575"/>
      <c r="M31" s="2437"/>
      <c r="N31" s="695"/>
      <c r="O31" s="1990"/>
      <c r="P31" s="1990"/>
    </row>
    <row s="32343" customFormat="1" customHeight="1" ht="0.75" hidden="1">
      <c r="A32" s="2146"/>
      <c r="B32" s="2146"/>
      <c r="C32" s="730" t="s">
        <v>1122</v>
      </c>
      <c r="D32" s="2734"/>
      <c r="E32" s="2477"/>
      <c r="F32" s="2643"/>
      <c r="G32" s="761"/>
      <c r="H32" s="1866"/>
      <c r="I32" s="1012"/>
      <c r="J32" s="932"/>
      <c r="K32" s="1866"/>
      <c r="L32" s="575"/>
      <c r="M32" s="2437"/>
      <c r="N32" s="695"/>
      <c r="O32" s="1990"/>
      <c r="P32" s="1990"/>
    </row>
    <row s="32343" customFormat="1" customHeight="1" ht="45" hidden="1">
      <c r="A33" s="2146" t="s">
        <v>179</v>
      </c>
      <c r="B33" s="2146" t="s">
        <v>180</v>
      </c>
      <c r="C33" s="730"/>
      <c r="D33" s="2734"/>
      <c r="E33" s="2477"/>
      <c r="F33" s="264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89" t="str">
        <f>INDEX(PT_DIFFERENTIATION_NTAR,MATCH(B33,PT_DIFFERENTIATION_NTAR_ID,0))</f>
        <v/>
      </c>
      <c r="H33" s="2229"/>
      <c r="I33" s="2105"/>
      <c r="J33" s="2139"/>
      <c r="K33" s="2232"/>
      <c r="L33" s="2229" t="s">
        <v>347</v>
      </c>
      <c r="M33" s="2437"/>
      <c r="N33" s="695"/>
      <c r="O33" s="1990"/>
      <c r="P33" s="1990"/>
    </row>
    <row s="32343" customFormat="1" customHeight="1" ht="18.75" hidden="1">
      <c r="A34" s="2146"/>
      <c r="B34" s="2146"/>
      <c r="C34" s="730" t="s">
        <v>1116</v>
      </c>
      <c r="D34" s="2734"/>
      <c r="E34" s="2477"/>
      <c r="F34" s="2643"/>
      <c r="G34" s="2689"/>
      <c r="H34" s="1866"/>
      <c r="I34" s="1012" t="s">
        <v>1117</v>
      </c>
      <c r="J34" s="932"/>
      <c r="K34" s="1866"/>
      <c r="L34" s="575"/>
      <c r="M34" s="2437"/>
      <c r="N34" s="695"/>
      <c r="O34" s="1990"/>
      <c r="P34" s="1990"/>
    </row>
    <row s="32343" customFormat="1" customHeight="1" ht="0.75" hidden="1">
      <c r="A35" s="2146"/>
      <c r="B35" s="2146"/>
      <c r="C35" s="730" t="s">
        <v>1122</v>
      </c>
      <c r="D35" s="2734"/>
      <c r="E35" s="2477"/>
      <c r="F35" s="2643"/>
      <c r="G35" s="761"/>
      <c r="H35" s="1866"/>
      <c r="I35" s="1012"/>
      <c r="J35" s="932"/>
      <c r="K35" s="1866"/>
      <c r="L35" s="575"/>
      <c r="M35" s="2437"/>
      <c r="N35" s="695"/>
      <c r="O35" s="1990"/>
      <c r="P35" s="1990"/>
    </row>
    <row s="32343" customFormat="1" customHeight="1" ht="18.75" hidden="1">
      <c r="A36" s="2146" t="s">
        <v>185</v>
      </c>
      <c r="B36" s="2146" t="s">
        <v>186</v>
      </c>
      <c r="C36" s="730"/>
      <c r="D36" s="2734"/>
      <c r="E36" s="2477"/>
      <c r="F36" s="2643" t="str">
        <f>INDEX(PT_DIFFERENTIATION_VTAR,MATCH(A36,PT_DIFFERENTIATION_VTAR_ID,0))</f>
        <v>Тарифы на услуги по передаче тепловой энергии</v>
      </c>
      <c r="G36" s="2689" t="str">
        <f>INDEX(PT_DIFFERENTIATION_NTAR,MATCH(B36,PT_DIFFERENTIATION_NTAR_ID,0))</f>
        <v/>
      </c>
      <c r="H36" s="2229"/>
      <c r="I36" s="2105"/>
      <c r="J36" s="2139"/>
      <c r="K36" s="2232"/>
      <c r="L36" s="2229" t="s">
        <v>347</v>
      </c>
      <c r="M36" s="2437"/>
      <c r="N36" s="695"/>
      <c r="O36" s="1990"/>
      <c r="P36" s="1990"/>
    </row>
    <row s="32343" customFormat="1" customHeight="1" ht="18.75" hidden="1">
      <c r="A37" s="2146"/>
      <c r="B37" s="2146"/>
      <c r="C37" s="730" t="s">
        <v>1116</v>
      </c>
      <c r="D37" s="2734"/>
      <c r="E37" s="2477"/>
      <c r="F37" s="2643"/>
      <c r="G37" s="2689"/>
      <c r="H37" s="1866"/>
      <c r="I37" s="1012" t="s">
        <v>1117</v>
      </c>
      <c r="J37" s="932"/>
      <c r="K37" s="1866"/>
      <c r="L37" s="575"/>
      <c r="M37" s="2437"/>
      <c r="N37" s="695"/>
      <c r="O37" s="1990"/>
      <c r="P37" s="1990"/>
    </row>
    <row s="32343" customFormat="1" customHeight="1" ht="0.75" hidden="1">
      <c r="A38" s="2146"/>
      <c r="B38" s="2146"/>
      <c r="C38" s="730" t="s">
        <v>1122</v>
      </c>
      <c r="D38" s="2734"/>
      <c r="E38" s="2477"/>
      <c r="F38" s="2643"/>
      <c r="G38" s="761"/>
      <c r="H38" s="1866"/>
      <c r="I38" s="1012"/>
      <c r="J38" s="932"/>
      <c r="K38" s="1866"/>
      <c r="L38" s="575"/>
      <c r="M38" s="2437"/>
      <c r="N38" s="695"/>
      <c r="O38" s="1990"/>
      <c r="P38" s="1990"/>
    </row>
    <row s="32343" customFormat="1" customHeight="1" ht="18.75" hidden="1">
      <c r="A39" s="2146" t="s">
        <v>191</v>
      </c>
      <c r="B39" s="2146" t="s">
        <v>192</v>
      </c>
      <c r="C39" s="730"/>
      <c r="D39" s="2734"/>
      <c r="E39" s="2477"/>
      <c r="F39" s="2643" t="str">
        <f>INDEX(PT_DIFFERENTIATION_VTAR,MATCH(A39,PT_DIFFERENTIATION_VTAR_ID,0))</f>
        <v>Тарифы на услуги по передаче теплоносителя</v>
      </c>
      <c r="G39" s="2689" t="str">
        <f>INDEX(PT_DIFFERENTIATION_NTAR,MATCH(B39,PT_DIFFERENTIATION_NTAR_ID,0))</f>
        <v/>
      </c>
      <c r="H39" s="2229"/>
      <c r="I39" s="2105"/>
      <c r="J39" s="2139"/>
      <c r="K39" s="2232"/>
      <c r="L39" s="2229" t="s">
        <v>347</v>
      </c>
      <c r="M39" s="2437"/>
      <c r="N39" s="695"/>
      <c r="O39" s="1990"/>
      <c r="P39" s="1990"/>
    </row>
    <row s="32343" customFormat="1" customHeight="1" ht="18.75" hidden="1">
      <c r="A40" s="2146"/>
      <c r="B40" s="2146"/>
      <c r="C40" s="730" t="s">
        <v>1116</v>
      </c>
      <c r="D40" s="2734"/>
      <c r="E40" s="2477"/>
      <c r="F40" s="2643"/>
      <c r="G40" s="2689"/>
      <c r="H40" s="1866"/>
      <c r="I40" s="1012" t="s">
        <v>1117</v>
      </c>
      <c r="J40" s="932"/>
      <c r="K40" s="1866"/>
      <c r="L40" s="575"/>
      <c r="M40" s="2437"/>
      <c r="N40" s="695"/>
      <c r="O40" s="1990"/>
      <c r="P40" s="1990"/>
    </row>
    <row s="32343" customFormat="1" customHeight="1" ht="0.75" hidden="1">
      <c r="A41" s="2146"/>
      <c r="B41" s="2146"/>
      <c r="C41" s="730" t="s">
        <v>1122</v>
      </c>
      <c r="D41" s="2734"/>
      <c r="E41" s="2477"/>
      <c r="F41" s="2643"/>
      <c r="G41" s="761"/>
      <c r="H41" s="1866"/>
      <c r="I41" s="1012"/>
      <c r="J41" s="932"/>
      <c r="K41" s="1866"/>
      <c r="L41" s="575"/>
      <c r="M41" s="2437"/>
      <c r="N41" s="695"/>
      <c r="O41" s="1990"/>
      <c r="P41" s="1990"/>
    </row>
    <row s="32343" customFormat="1" customHeight="1" ht="18.75" hidden="1">
      <c r="A42" s="2146" t="s">
        <v>197</v>
      </c>
      <c r="B42" s="2146" t="s">
        <v>198</v>
      </c>
      <c r="C42" s="730"/>
      <c r="D42" s="2734"/>
      <c r="E42" s="2477"/>
      <c r="F42" s="2643" t="str">
        <f>INDEX(PT_DIFFERENTIATION_VTAR,MATCH(A42,PT_DIFFERENTIATION_VTAR_ID,0))</f>
        <v>Плата за услуги по поддержанию резервной тепловой мощности при отсутствии потребления тепловой энергии</v>
      </c>
      <c r="G42" s="2689" t="str">
        <f>INDEX(PT_DIFFERENTIATION_NTAR,MATCH(B42,PT_DIFFERENTIATION_NTAR_ID,0))</f>
        <v/>
      </c>
      <c r="H42" s="2229"/>
      <c r="I42" s="2105"/>
      <c r="J42" s="2139"/>
      <c r="K42" s="2232"/>
      <c r="L42" s="2229" t="s">
        <v>347</v>
      </c>
      <c r="M42" s="2437"/>
      <c r="N42" s="695"/>
      <c r="O42" s="1990"/>
      <c r="P42" s="1990"/>
    </row>
    <row s="32343" customFormat="1" customHeight="1" ht="18.75" hidden="1">
      <c r="A43" s="2146"/>
      <c r="B43" s="2146"/>
      <c r="C43" s="730" t="s">
        <v>1116</v>
      </c>
      <c r="D43" s="2734"/>
      <c r="E43" s="2477"/>
      <c r="F43" s="2643"/>
      <c r="G43" s="2689"/>
      <c r="H43" s="1866"/>
      <c r="I43" s="1012" t="s">
        <v>1117</v>
      </c>
      <c r="J43" s="932"/>
      <c r="K43" s="1866"/>
      <c r="L43" s="575"/>
      <c r="M43" s="2437"/>
      <c r="N43" s="695"/>
      <c r="O43" s="1990"/>
      <c r="P43" s="1990"/>
    </row>
    <row s="32343" customFormat="1" customHeight="1" ht="0.75" hidden="1">
      <c r="A44" s="2146"/>
      <c r="B44" s="2146"/>
      <c r="C44" s="730" t="s">
        <v>1122</v>
      </c>
      <c r="D44" s="2734"/>
      <c r="E44" s="2477"/>
      <c r="F44" s="2643"/>
      <c r="G44" s="761"/>
      <c r="H44" s="1866"/>
      <c r="I44" s="1012"/>
      <c r="J44" s="932"/>
      <c r="K44" s="1866"/>
      <c r="L44" s="575"/>
      <c r="M44" s="2437"/>
      <c r="N44" s="695"/>
      <c r="O44" s="1990"/>
      <c r="P44" s="1990"/>
    </row>
    <row s="32343" customFormat="1" customHeight="1" ht="18.75" hidden="1">
      <c r="A45" s="2146" t="s">
        <v>203</v>
      </c>
      <c r="B45" s="2146" t="s">
        <v>204</v>
      </c>
      <c r="C45" s="730"/>
      <c r="D45" s="2734"/>
      <c r="E45" s="2477"/>
      <c r="F45" s="2643" t="str">
        <f>INDEX(PT_DIFFERENTIATION_VTAR,MATCH(A45,PT_DIFFERENTIATION_VTAR_ID,0))</f>
        <v>Плата за подключение (технологическое присоединение) к системе теплоснабжения</v>
      </c>
      <c r="G45" s="2689" t="str">
        <f>INDEX(PT_DIFFERENTIATION_NTAR,MATCH(B45,PT_DIFFERENTIATION_NTAR_ID,0))</f>
        <v/>
      </c>
      <c r="H45" s="2229"/>
      <c r="I45" s="2105"/>
      <c r="J45" s="2139"/>
      <c r="K45" s="2232"/>
      <c r="L45" s="2229" t="s">
        <v>347</v>
      </c>
      <c r="M45" s="2437"/>
      <c r="N45" s="695"/>
      <c r="O45" s="1990"/>
      <c r="P45" s="1990"/>
    </row>
    <row s="32343" customFormat="1" customHeight="1" ht="18.75" hidden="1">
      <c r="A46" s="2146"/>
      <c r="B46" s="2146"/>
      <c r="C46" s="730" t="s">
        <v>1116</v>
      </c>
      <c r="D46" s="2734"/>
      <c r="E46" s="2477"/>
      <c r="F46" s="2643"/>
      <c r="G46" s="2689"/>
      <c r="H46" s="1866"/>
      <c r="I46" s="1012" t="s">
        <v>1117</v>
      </c>
      <c r="J46" s="932"/>
      <c r="K46" s="1866"/>
      <c r="L46" s="575"/>
      <c r="M46" s="2437"/>
      <c r="N46" s="695"/>
      <c r="O46" s="1990"/>
      <c r="P46" s="1990"/>
    </row>
    <row s="32343" customFormat="1" customHeight="1" ht="0.75" hidden="1">
      <c r="A47" s="2146"/>
      <c r="B47" s="2146"/>
      <c r="C47" s="730" t="s">
        <v>1122</v>
      </c>
      <c r="D47" s="2734"/>
      <c r="E47" s="2477"/>
      <c r="F47" s="2643"/>
      <c r="G47" s="761"/>
      <c r="H47" s="1866"/>
      <c r="I47" s="1012"/>
      <c r="J47" s="932"/>
      <c r="K47" s="1866"/>
      <c r="L47" s="575"/>
      <c r="M47" s="2437"/>
      <c r="N47" s="695"/>
      <c r="O47" s="1990"/>
      <c r="P47" s="1990"/>
    </row>
    <row s="32343" customFormat="1" customHeight="1" ht="18.75" hidden="1">
      <c r="A48" s="2146" t="s">
        <v>229</v>
      </c>
      <c r="B48" s="2146" t="s">
        <v>230</v>
      </c>
      <c r="C48" s="730"/>
      <c r="D48" s="2734"/>
      <c r="E48" s="2477"/>
      <c r="F48" s="2643" t="str">
        <f>INDEX(PT_DIFFERENTIATION_VTAR,MATCH(A48,PT_DIFFERENTIATION_VTAR_ID,0))</f>
        <v>Тариф на питьевую воду (питьевое водоснабжение)</v>
      </c>
      <c r="G48" s="2689" t="str">
        <f>INDEX(PT_DIFFERENTIATION_NTAR,MATCH(B48,PT_DIFFERENTIATION_NTAR_ID,0))</f>
        <v/>
      </c>
      <c r="H48" s="2229"/>
      <c r="I48" s="2105"/>
      <c r="J48" s="2139"/>
      <c r="K48" s="2232"/>
      <c r="L48" s="2229" t="s">
        <v>347</v>
      </c>
      <c r="M48" s="2437"/>
      <c r="N48" s="695"/>
      <c r="O48" s="1990"/>
      <c r="P48" s="1990"/>
    </row>
    <row s="32343" customFormat="1" customHeight="1" ht="18.75" hidden="1">
      <c r="A49" s="2146"/>
      <c r="B49" s="2146"/>
      <c r="C49" s="730" t="s">
        <v>1116</v>
      </c>
      <c r="D49" s="2734"/>
      <c r="E49" s="2477"/>
      <c r="F49" s="2643"/>
      <c r="G49" s="2689"/>
      <c r="H49" s="1866"/>
      <c r="I49" s="1012" t="s">
        <v>1117</v>
      </c>
      <c r="J49" s="932"/>
      <c r="K49" s="1866"/>
      <c r="L49" s="575"/>
      <c r="M49" s="2437"/>
      <c r="N49" s="695"/>
      <c r="O49" s="1990"/>
      <c r="P49" s="1990"/>
    </row>
    <row s="32343" customFormat="1" customHeight="1" ht="0.75" hidden="1">
      <c r="A50" s="2146"/>
      <c r="B50" s="2146"/>
      <c r="C50" s="730" t="s">
        <v>1122</v>
      </c>
      <c r="D50" s="2734"/>
      <c r="E50" s="2477"/>
      <c r="F50" s="2643"/>
      <c r="G50" s="761"/>
      <c r="H50" s="1866"/>
      <c r="I50" s="1012"/>
      <c r="J50" s="932"/>
      <c r="K50" s="1866"/>
      <c r="L50" s="575"/>
      <c r="M50" s="2437"/>
      <c r="N50" s="695"/>
      <c r="O50" s="1990"/>
      <c r="P50" s="1990"/>
    </row>
    <row s="32343" customFormat="1" customHeight="1" ht="18.75" hidden="1">
      <c r="A51" s="2146" t="s">
        <v>234</v>
      </c>
      <c r="B51" s="2146" t="s">
        <v>235</v>
      </c>
      <c r="C51" s="730"/>
      <c r="D51" s="2734"/>
      <c r="E51" s="2477"/>
      <c r="F51" s="2643" t="str">
        <f>INDEX(PT_DIFFERENTIATION_VTAR,MATCH(A51,PT_DIFFERENTIATION_VTAR_ID,0))</f>
        <v>Тариф на техническую воду</v>
      </c>
      <c r="G51" s="2689" t="str">
        <f>INDEX(PT_DIFFERENTIATION_NTAR,MATCH(B51,PT_DIFFERENTIATION_NTAR_ID,0))</f>
        <v/>
      </c>
      <c r="H51" s="2229"/>
      <c r="I51" s="2105"/>
      <c r="J51" s="2139"/>
      <c r="K51" s="2232"/>
      <c r="L51" s="2229" t="s">
        <v>347</v>
      </c>
      <c r="M51" s="2437"/>
      <c r="N51" s="695"/>
      <c r="O51" s="1990"/>
      <c r="P51" s="1990"/>
    </row>
    <row s="32343" customFormat="1" customHeight="1" ht="18.75" hidden="1">
      <c r="A52" s="2146"/>
      <c r="B52" s="2146"/>
      <c r="C52" s="730" t="s">
        <v>1116</v>
      </c>
      <c r="D52" s="2734"/>
      <c r="E52" s="2477"/>
      <c r="F52" s="2643"/>
      <c r="G52" s="2689"/>
      <c r="H52" s="1866"/>
      <c r="I52" s="1012" t="s">
        <v>1117</v>
      </c>
      <c r="J52" s="932"/>
      <c r="K52" s="1866"/>
      <c r="L52" s="575"/>
      <c r="M52" s="2437"/>
      <c r="N52" s="695"/>
      <c r="O52" s="1990"/>
      <c r="P52" s="1990"/>
    </row>
    <row s="32343" customFormat="1" customHeight="1" ht="0.75" hidden="1">
      <c r="A53" s="2146"/>
      <c r="B53" s="2146"/>
      <c r="C53" s="730" t="s">
        <v>1122</v>
      </c>
      <c r="D53" s="2734"/>
      <c r="E53" s="2477"/>
      <c r="F53" s="2643"/>
      <c r="G53" s="761"/>
      <c r="H53" s="1866"/>
      <c r="I53" s="1012"/>
      <c r="J53" s="932"/>
      <c r="K53" s="1866"/>
      <c r="L53" s="575"/>
      <c r="M53" s="2437"/>
      <c r="N53" s="695"/>
      <c r="O53" s="1990"/>
      <c r="P53" s="1990"/>
    </row>
    <row s="32343" customFormat="1" customHeight="1" ht="18.75" hidden="1">
      <c r="A54" s="2146" t="s">
        <v>239</v>
      </c>
      <c r="B54" s="2146" t="s">
        <v>240</v>
      </c>
      <c r="C54" s="730"/>
      <c r="D54" s="2734"/>
      <c r="E54" s="2477"/>
      <c r="F54" s="2643" t="str">
        <f>INDEX(PT_DIFFERENTIATION_VTAR,MATCH(A54,PT_DIFFERENTIATION_VTAR_ID,0))</f>
        <v>Тариф на транспортировку воды</v>
      </c>
      <c r="G54" s="2689" t="str">
        <f>INDEX(PT_DIFFERENTIATION_NTAR,MATCH(B54,PT_DIFFERENTIATION_NTAR_ID,0))</f>
        <v/>
      </c>
      <c r="H54" s="2229"/>
      <c r="I54" s="2105"/>
      <c r="J54" s="2139"/>
      <c r="K54" s="2232"/>
      <c r="L54" s="2229" t="s">
        <v>347</v>
      </c>
      <c r="M54" s="2437"/>
      <c r="N54" s="695"/>
      <c r="O54" s="1990"/>
      <c r="P54" s="1990"/>
    </row>
    <row s="32343" customFormat="1" customHeight="1" ht="18.75" hidden="1">
      <c r="A55" s="2146"/>
      <c r="B55" s="2146"/>
      <c r="C55" s="730" t="s">
        <v>1116</v>
      </c>
      <c r="D55" s="2734"/>
      <c r="E55" s="2477"/>
      <c r="F55" s="2643"/>
      <c r="G55" s="2689"/>
      <c r="H55" s="1866"/>
      <c r="I55" s="1012" t="s">
        <v>1117</v>
      </c>
      <c r="J55" s="932"/>
      <c r="K55" s="1866"/>
      <c r="L55" s="575"/>
      <c r="M55" s="2437"/>
      <c r="N55" s="695"/>
      <c r="O55" s="1990"/>
      <c r="P55" s="1990"/>
    </row>
    <row s="32343" customFormat="1" customHeight="1" ht="0.75" hidden="1">
      <c r="A56" s="2146"/>
      <c r="B56" s="2146"/>
      <c r="C56" s="730" t="s">
        <v>1122</v>
      </c>
      <c r="D56" s="2734"/>
      <c r="E56" s="2477"/>
      <c r="F56" s="2643"/>
      <c r="G56" s="761"/>
      <c r="H56" s="1866"/>
      <c r="I56" s="1012"/>
      <c r="J56" s="932"/>
      <c r="K56" s="1866"/>
      <c r="L56" s="575"/>
      <c r="M56" s="2437"/>
      <c r="N56" s="695"/>
      <c r="O56" s="1990"/>
      <c r="P56" s="1990"/>
    </row>
    <row s="32343" customFormat="1" customHeight="1" ht="18.75" hidden="1">
      <c r="A57" s="2146" t="s">
        <v>244</v>
      </c>
      <c r="B57" s="2146" t="s">
        <v>245</v>
      </c>
      <c r="C57" s="730"/>
      <c r="D57" s="2734"/>
      <c r="E57" s="2477"/>
      <c r="F57" s="2643" t="str">
        <f>INDEX(PT_DIFFERENTIATION_VTAR,MATCH(A57,PT_DIFFERENTIATION_VTAR_ID,0))</f>
        <v>Тариф на подвоз воды</v>
      </c>
      <c r="G57" s="2689" t="str">
        <f>INDEX(PT_DIFFERENTIATION_NTAR,MATCH(B57,PT_DIFFERENTIATION_NTAR_ID,0))</f>
        <v/>
      </c>
      <c r="H57" s="2229"/>
      <c r="I57" s="2105"/>
      <c r="J57" s="2139"/>
      <c r="K57" s="2232"/>
      <c r="L57" s="2229" t="s">
        <v>347</v>
      </c>
      <c r="M57" s="2437"/>
      <c r="N57" s="695"/>
      <c r="O57" s="1990"/>
      <c r="P57" s="1990"/>
    </row>
    <row s="32343" customFormat="1" customHeight="1" ht="18.75" hidden="1">
      <c r="A58" s="2146"/>
      <c r="B58" s="2146"/>
      <c r="C58" s="730" t="s">
        <v>1116</v>
      </c>
      <c r="D58" s="2734"/>
      <c r="E58" s="2477"/>
      <c r="F58" s="2643"/>
      <c r="G58" s="2689"/>
      <c r="H58" s="1866"/>
      <c r="I58" s="1012" t="s">
        <v>1117</v>
      </c>
      <c r="J58" s="932"/>
      <c r="K58" s="1866"/>
      <c r="L58" s="575"/>
      <c r="M58" s="2437"/>
      <c r="N58" s="695"/>
      <c r="O58" s="1990"/>
      <c r="P58" s="1990"/>
    </row>
    <row s="32343" customFormat="1" customHeight="1" ht="0.75" hidden="1">
      <c r="A59" s="2146"/>
      <c r="B59" s="2146"/>
      <c r="C59" s="730" t="s">
        <v>1122</v>
      </c>
      <c r="D59" s="2734"/>
      <c r="E59" s="2477"/>
      <c r="F59" s="2643"/>
      <c r="G59" s="761"/>
      <c r="H59" s="1866"/>
      <c r="I59" s="1012"/>
      <c r="J59" s="932"/>
      <c r="K59" s="1866"/>
      <c r="L59" s="575"/>
      <c r="M59" s="2437"/>
      <c r="N59" s="695"/>
      <c r="O59" s="1990"/>
      <c r="P59" s="1990"/>
    </row>
    <row s="32343" customFormat="1" customHeight="1" ht="18.75" hidden="1">
      <c r="A60" s="2146" t="s">
        <v>249</v>
      </c>
      <c r="B60" s="2146" t="s">
        <v>250</v>
      </c>
      <c r="C60" s="730"/>
      <c r="D60" s="2734"/>
      <c r="E60" s="2477"/>
      <c r="F60" s="2643" t="str">
        <f>INDEX(PT_DIFFERENTIATION_VTAR,MATCH(A60,PT_DIFFERENTIATION_VTAR_ID,0))</f>
        <v>Тариф на подключение (технологическое присоединение) к централизованной системе холодного водоснабжения</v>
      </c>
      <c r="G60" s="2689" t="str">
        <f>INDEX(PT_DIFFERENTIATION_NTAR,MATCH(B60,PT_DIFFERENTIATION_NTAR_ID,0))</f>
        <v/>
      </c>
      <c r="H60" s="2229"/>
      <c r="I60" s="2105"/>
      <c r="J60" s="2139"/>
      <c r="K60" s="2232"/>
      <c r="L60" s="2229" t="s">
        <v>347</v>
      </c>
      <c r="M60" s="2437"/>
      <c r="N60" s="695"/>
      <c r="O60" s="1990"/>
      <c r="P60" s="1990"/>
    </row>
    <row s="32343" customFormat="1" customHeight="1" ht="18.75" hidden="1">
      <c r="A61" s="2146"/>
      <c r="B61" s="2146"/>
      <c r="C61" s="730" t="s">
        <v>1116</v>
      </c>
      <c r="D61" s="2734"/>
      <c r="E61" s="2477"/>
      <c r="F61" s="2643"/>
      <c r="G61" s="2689"/>
      <c r="H61" s="1866"/>
      <c r="I61" s="1012" t="s">
        <v>1117</v>
      </c>
      <c r="J61" s="932"/>
      <c r="K61" s="1866"/>
      <c r="L61" s="575"/>
      <c r="M61" s="2437"/>
      <c r="N61" s="695"/>
      <c r="O61" s="1990"/>
      <c r="P61" s="1990"/>
    </row>
    <row s="32343" customFormat="1" customHeight="1" ht="0.75" hidden="1">
      <c r="A62" s="2146"/>
      <c r="B62" s="2146"/>
      <c r="C62" s="730" t="s">
        <v>1122</v>
      </c>
      <c r="D62" s="2734"/>
      <c r="E62" s="2477"/>
      <c r="F62" s="2643"/>
      <c r="G62" s="761"/>
      <c r="H62" s="1866"/>
      <c r="I62" s="1012"/>
      <c r="J62" s="932"/>
      <c r="K62" s="1866"/>
      <c r="L62" s="575"/>
      <c r="M62" s="2437"/>
      <c r="N62" s="695"/>
      <c r="O62" s="1990"/>
      <c r="P62" s="1990"/>
    </row>
    <row s="32343" customFormat="1" customHeight="1" ht="18.75" hidden="1">
      <c r="A63" s="2146" t="s">
        <v>258</v>
      </c>
      <c r="B63" s="2146" t="s">
        <v>259</v>
      </c>
      <c r="C63" s="730"/>
      <c r="D63" s="2734"/>
      <c r="E63" s="2477"/>
      <c r="F63" s="2643" t="str">
        <f>INDEX(PT_DIFFERENTIATION_VTAR,MATCH(A63,PT_DIFFERENTIATION_VTAR_ID,0))</f>
        <v>Тариф на горячую воду (горячее водоснабжение)</v>
      </c>
      <c r="G63" s="2689" t="str">
        <f>INDEX(PT_DIFFERENTIATION_NTAR,MATCH(B63,PT_DIFFERENTIATION_NTAR_ID,0))</f>
        <v>Тариф на горячую воду в закрытой системе горячего водоснабжения, поставляемую потребителям</v>
      </c>
      <c r="H63" s="2229"/>
      <c r="I63" s="2105"/>
      <c r="J63" s="2139"/>
      <c r="K63" s="2232"/>
      <c r="L63" s="2229" t="s">
        <v>347</v>
      </c>
      <c r="M63" s="2437"/>
      <c r="N63" s="695"/>
      <c r="O63" s="1990"/>
      <c r="P63" s="1990"/>
    </row>
    <row s="32343" customFormat="1" customHeight="1" ht="18.75" hidden="1">
      <c r="A64" s="2146"/>
      <c r="B64" s="2146"/>
      <c r="C64" s="730" t="s">
        <v>1116</v>
      </c>
      <c r="D64" s="2734"/>
      <c r="E64" s="2477"/>
      <c r="F64" s="2643"/>
      <c r="G64" s="2689"/>
      <c r="H64" s="1866"/>
      <c r="I64" s="1012" t="s">
        <v>1117</v>
      </c>
      <c r="J64" s="932"/>
      <c r="K64" s="1866"/>
      <c r="L64" s="575"/>
      <c r="M64" s="2437"/>
      <c r="N64" s="695"/>
      <c r="O64" s="1990"/>
      <c r="P64" s="1990"/>
    </row>
    <row s="37389" customFormat="1" customHeight="1" ht="18.75">
      <c r="A65" s="7451" t="s">
        <v>258</v>
      </c>
      <c r="B65" s="7451" t="s">
        <v>273</v>
      </c>
      <c r="C65" s="10694"/>
      <c r="D65" s="10695"/>
      <c r="E65" s="10696"/>
      <c r="F65" s="10696"/>
      <c r="G65" s="10697" t="str">
        <f>INDEX(PT_DIFFERENTIATION_NTAR,MATCH(B65,PT_DIFFERENTIATION_NTAR_ID,0))</f>
        <v>Тариф на горячую воду в закрытой системе горячего водоснабжения, поставляемую группе потребителей "население"</v>
      </c>
      <c r="H65" s="6911"/>
      <c r="I65" s="10698"/>
      <c r="J65" s="10699"/>
      <c r="K65" s="10700"/>
      <c r="L65" s="6911" t="s">
        <v>347</v>
      </c>
      <c r="M65" s="10701"/>
      <c r="N65" s="10702"/>
      <c r="O65" s="7194"/>
      <c r="P65" s="7194"/>
      <c r="Q65" s="6601"/>
      <c r="R65" s="6601"/>
      <c r="S65" s="6601"/>
      <c r="T65" s="6601"/>
      <c r="U65" s="6601"/>
      <c r="V65" s="6601"/>
      <c r="W65" s="6601"/>
      <c r="X65" s="6601"/>
      <c r="Y65" s="6601"/>
      <c r="Z65" s="6601"/>
      <c r="AA65" s="6601"/>
      <c r="AB65" s="6601"/>
      <c r="AC65" s="6601"/>
      <c r="AD65" s="6601"/>
      <c r="AE65" s="6601"/>
      <c r="AF65" s="6601"/>
      <c r="AG65" s="6601"/>
    </row>
    <row s="37389" customFormat="1" customHeight="1" ht="18.75">
      <c r="A66" s="7451"/>
      <c r="B66" s="7451"/>
      <c r="C66" s="10694" t="s">
        <v>1116</v>
      </c>
      <c r="D66" s="10695"/>
      <c r="E66" s="10696"/>
      <c r="F66" s="10696"/>
      <c r="G66" s="10697"/>
      <c r="H66" s="10703"/>
      <c r="I66" s="10704" t="s">
        <v>1117</v>
      </c>
      <c r="J66" s="10705"/>
      <c r="K66" s="10706"/>
      <c r="L66" s="10707"/>
      <c r="M66" s="10701"/>
      <c r="N66" s="10702"/>
      <c r="O66" s="7194"/>
      <c r="P66" s="7194"/>
      <c r="Q66" s="6601"/>
      <c r="R66" s="6601"/>
      <c r="S66" s="6601"/>
      <c r="T66" s="6601"/>
      <c r="U66" s="6601"/>
      <c r="V66" s="6601"/>
      <c r="W66" s="6601"/>
      <c r="X66" s="6601"/>
      <c r="Y66" s="6601"/>
      <c r="Z66" s="6601"/>
      <c r="AA66" s="6601"/>
      <c r="AB66" s="6601"/>
      <c r="AC66" s="6601"/>
      <c r="AD66" s="6601"/>
      <c r="AE66" s="6601"/>
      <c r="AF66" s="6601"/>
      <c r="AG66" s="6601"/>
    </row>
    <row s="37389" customFormat="1" customHeight="1" ht="18.75">
      <c r="A67" s="7451" t="s">
        <v>258</v>
      </c>
      <c r="B67" s="7451" t="s">
        <v>284</v>
      </c>
      <c r="C67" s="10694"/>
      <c r="D67" s="10695"/>
      <c r="E67" s="10696"/>
      <c r="F67" s="10696"/>
      <c r="G67" s="10697" t="str">
        <f>INDEX(PT_DIFFERENTIATION_NTAR,MATCH(B67,PT_DIFFERENTIATION_NTAR_ID,0))</f>
        <v>Тариф на горячую воду в закрытой системе горячего водоснабжения, поставляемую группе потребителей "потребители (кроме населения)"</v>
      </c>
      <c r="H67" s="6911"/>
      <c r="I67" s="10698"/>
      <c r="J67" s="10699"/>
      <c r="K67" s="10700"/>
      <c r="L67" s="6911" t="s">
        <v>347</v>
      </c>
      <c r="M67" s="10701"/>
      <c r="N67" s="10702"/>
      <c r="O67" s="7194"/>
      <c r="P67" s="7194"/>
      <c r="Q67" s="6601"/>
      <c r="R67" s="6601"/>
      <c r="S67" s="6601"/>
      <c r="T67" s="6601"/>
      <c r="U67" s="6601"/>
      <c r="V67" s="6601"/>
      <c r="W67" s="6601"/>
      <c r="X67" s="6601"/>
      <c r="Y67" s="6601"/>
      <c r="Z67" s="6601"/>
      <c r="AA67" s="6601"/>
      <c r="AB67" s="6601"/>
      <c r="AC67" s="6601"/>
      <c r="AD67" s="6601"/>
      <c r="AE67" s="6601"/>
      <c r="AF67" s="6601"/>
      <c r="AG67" s="6601"/>
    </row>
    <row s="37389" customFormat="1" customHeight="1" ht="18.75">
      <c r="A68" s="7451"/>
      <c r="B68" s="7451"/>
      <c r="C68" s="10694" t="s">
        <v>1116</v>
      </c>
      <c r="D68" s="10695"/>
      <c r="E68" s="10696"/>
      <c r="F68" s="10696"/>
      <c r="G68" s="10697"/>
      <c r="H68" s="10708"/>
      <c r="I68" s="10709" t="s">
        <v>1117</v>
      </c>
      <c r="J68" s="10710"/>
      <c r="K68" s="10711"/>
      <c r="L68" s="10712"/>
      <c r="M68" s="10701"/>
      <c r="N68" s="10702"/>
      <c r="O68" s="7194"/>
      <c r="P68" s="7194"/>
      <c r="Q68" s="6601"/>
      <c r="R68" s="6601"/>
      <c r="S68" s="6601"/>
      <c r="T68" s="6601"/>
      <c r="U68" s="6601"/>
      <c r="V68" s="6601"/>
      <c r="W68" s="6601"/>
      <c r="X68" s="6601"/>
      <c r="Y68" s="6601"/>
      <c r="Z68" s="6601"/>
      <c r="AA68" s="6601"/>
      <c r="AB68" s="6601"/>
      <c r="AC68" s="6601"/>
      <c r="AD68" s="6601"/>
      <c r="AE68" s="6601"/>
      <c r="AF68" s="6601"/>
      <c r="AG68" s="6601"/>
    </row>
    <row s="32343" customFormat="1" customHeight="1" ht="0.75" hidden="1">
      <c r="A69" s="2146"/>
      <c r="B69" s="2146"/>
      <c r="C69" s="730" t="s">
        <v>1122</v>
      </c>
      <c r="D69" s="2734"/>
      <c r="E69" s="2477"/>
      <c r="F69" s="2643"/>
      <c r="G69" s="761"/>
      <c r="H69" s="1866"/>
      <c r="I69" s="1012"/>
      <c r="J69" s="932"/>
      <c r="K69" s="1866"/>
      <c r="L69" s="575"/>
      <c r="M69" s="2437"/>
      <c r="N69" s="695"/>
      <c r="O69" s="1990"/>
      <c r="P69" s="1990"/>
    </row>
    <row s="32343" customFormat="1" customHeight="1" ht="18.75" hidden="1">
      <c r="A70" s="2146" t="s">
        <v>296</v>
      </c>
      <c r="B70" s="2146" t="s">
        <v>297</v>
      </c>
      <c r="C70" s="730"/>
      <c r="D70" s="2734"/>
      <c r="E70" s="2477"/>
      <c r="F70" s="2643" t="str">
        <f>INDEX(PT_DIFFERENTIATION_VTAR,MATCH(A70,PT_DIFFERENTIATION_VTAR_ID,0))</f>
        <v>Тариф на транспортировку горячей воды</v>
      </c>
      <c r="G70" s="2689" t="str">
        <f>INDEX(PT_DIFFERENTIATION_NTAR,MATCH(B70,PT_DIFFERENTIATION_NTAR_ID,0))</f>
        <v/>
      </c>
      <c r="H70" s="2229"/>
      <c r="I70" s="2105"/>
      <c r="J70" s="2139"/>
      <c r="K70" s="2232"/>
      <c r="L70" s="2229" t="s">
        <v>347</v>
      </c>
      <c r="M70" s="2437"/>
      <c r="N70" s="695"/>
      <c r="O70" s="1990"/>
      <c r="P70" s="1990"/>
    </row>
    <row s="32343" customFormat="1" customHeight="1" ht="18.75" hidden="1">
      <c r="A71" s="2146"/>
      <c r="B71" s="2146"/>
      <c r="C71" s="730" t="s">
        <v>1116</v>
      </c>
      <c r="D71" s="2734"/>
      <c r="E71" s="2477"/>
      <c r="F71" s="2643"/>
      <c r="G71" s="2689"/>
      <c r="H71" s="1866"/>
      <c r="I71" s="1012" t="s">
        <v>1117</v>
      </c>
      <c r="J71" s="932"/>
      <c r="K71" s="1866"/>
      <c r="L71" s="575"/>
      <c r="M71" s="2437"/>
      <c r="N71" s="695"/>
      <c r="O71" s="1990"/>
      <c r="P71" s="1990"/>
    </row>
    <row s="32343" customFormat="1" customHeight="1" ht="0.75" hidden="1">
      <c r="A72" s="2146"/>
      <c r="B72" s="2146"/>
      <c r="C72" s="730" t="s">
        <v>1122</v>
      </c>
      <c r="D72" s="2734"/>
      <c r="E72" s="2477"/>
      <c r="F72" s="2643"/>
      <c r="G72" s="761"/>
      <c r="H72" s="1866"/>
      <c r="I72" s="1012"/>
      <c r="J72" s="932"/>
      <c r="K72" s="1866"/>
      <c r="L72" s="575"/>
      <c r="M72" s="2437"/>
      <c r="N72" s="695"/>
      <c r="O72" s="1990"/>
      <c r="P72" s="1990"/>
    </row>
    <row s="32343" customFormat="1" customHeight="1" ht="18.75" hidden="1">
      <c r="A73" s="2146" t="s">
        <v>301</v>
      </c>
      <c r="B73" s="2146" t="s">
        <v>302</v>
      </c>
      <c r="C73" s="730"/>
      <c r="D73" s="2734"/>
      <c r="E73" s="2477"/>
      <c r="F73" s="2643" t="str">
        <f>INDEX(PT_DIFFERENTIATION_VTAR,MATCH(A73,PT_DIFFERENTIATION_VTAR_ID,0))</f>
        <v>Тариф на подключение (технологическое присоединение) к централизованной системе горячего водоснабжения</v>
      </c>
      <c r="G73" s="2689" t="str">
        <f>INDEX(PT_DIFFERENTIATION_NTAR,MATCH(B73,PT_DIFFERENTIATION_NTAR_ID,0))</f>
        <v/>
      </c>
      <c r="H73" s="2229"/>
      <c r="I73" s="2105"/>
      <c r="J73" s="2139"/>
      <c r="K73" s="2232"/>
      <c r="L73" s="2229" t="s">
        <v>347</v>
      </c>
      <c r="M73" s="2437"/>
      <c r="N73" s="695"/>
      <c r="O73" s="1990"/>
      <c r="P73" s="1990"/>
    </row>
    <row s="32343" customFormat="1" customHeight="1" ht="18.75" hidden="1">
      <c r="A74" s="2146"/>
      <c r="B74" s="2146"/>
      <c r="C74" s="730" t="s">
        <v>1116</v>
      </c>
      <c r="D74" s="2734"/>
      <c r="E74" s="2477"/>
      <c r="F74" s="2643"/>
      <c r="G74" s="2689"/>
      <c r="H74" s="1866"/>
      <c r="I74" s="1012" t="s">
        <v>1117</v>
      </c>
      <c r="J74" s="932"/>
      <c r="K74" s="1866"/>
      <c r="L74" s="575"/>
      <c r="M74" s="2437"/>
      <c r="N74" s="695"/>
      <c r="O74" s="1990"/>
      <c r="P74" s="1990"/>
    </row>
    <row s="32343" customFormat="1" customHeight="1" ht="0.75" hidden="1">
      <c r="A75" s="2146"/>
      <c r="B75" s="2146"/>
      <c r="C75" s="730" t="s">
        <v>1122</v>
      </c>
      <c r="D75" s="2734"/>
      <c r="E75" s="2477"/>
      <c r="F75" s="2643"/>
      <c r="G75" s="761"/>
      <c r="H75" s="1866"/>
      <c r="I75" s="1012"/>
      <c r="J75" s="932"/>
      <c r="K75" s="1866"/>
      <c r="L75" s="575"/>
      <c r="M75" s="2437"/>
      <c r="N75" s="695"/>
      <c r="O75" s="1990"/>
      <c r="P75" s="1990"/>
    </row>
    <row s="32343" customFormat="1" customHeight="1" ht="18.75" hidden="1">
      <c r="A76" s="2146" t="s">
        <v>306</v>
      </c>
      <c r="B76" s="2146" t="s">
        <v>307</v>
      </c>
      <c r="C76" s="730"/>
      <c r="D76" s="2734"/>
      <c r="E76" s="2477"/>
      <c r="F76" s="2643" t="str">
        <f>INDEX(PT_DIFFERENTIATION_VTAR,MATCH(A76,PT_DIFFERENTIATION_VTAR_ID,0))</f>
        <v>Тариф на водоотведение</v>
      </c>
      <c r="G76" s="2689" t="str">
        <f>INDEX(PT_DIFFERENTIATION_NTAR,MATCH(B76,PT_DIFFERENTIATION_NTAR_ID,0))</f>
        <v/>
      </c>
      <c r="H76" s="2229"/>
      <c r="I76" s="2105"/>
      <c r="J76" s="2139"/>
      <c r="K76" s="2232"/>
      <c r="L76" s="2229" t="s">
        <v>347</v>
      </c>
      <c r="M76" s="2437"/>
      <c r="N76" s="695"/>
      <c r="O76" s="1990"/>
      <c r="P76" s="1990"/>
    </row>
    <row s="32343" customFormat="1" customHeight="1" ht="18.75" hidden="1">
      <c r="A77" s="2146"/>
      <c r="B77" s="2146"/>
      <c r="C77" s="730" t="s">
        <v>1116</v>
      </c>
      <c r="D77" s="2734"/>
      <c r="E77" s="2477"/>
      <c r="F77" s="2643"/>
      <c r="G77" s="2689"/>
      <c r="H77" s="1866"/>
      <c r="I77" s="1012" t="s">
        <v>1117</v>
      </c>
      <c r="J77" s="932"/>
      <c r="K77" s="1866"/>
      <c r="L77" s="575"/>
      <c r="M77" s="2437"/>
      <c r="N77" s="695"/>
      <c r="O77" s="1990"/>
      <c r="P77" s="1990"/>
    </row>
    <row s="32343" customFormat="1" customHeight="1" ht="0.75" hidden="1">
      <c r="A78" s="2146"/>
      <c r="B78" s="2146"/>
      <c r="C78" s="730" t="s">
        <v>1122</v>
      </c>
      <c r="D78" s="2734"/>
      <c r="E78" s="2477"/>
      <c r="F78" s="2643"/>
      <c r="G78" s="761"/>
      <c r="H78" s="1866"/>
      <c r="I78" s="1012"/>
      <c r="J78" s="932"/>
      <c r="K78" s="1866"/>
      <c r="L78" s="575"/>
      <c r="M78" s="2437"/>
      <c r="N78" s="695"/>
      <c r="O78" s="1990"/>
      <c r="P78" s="1990"/>
    </row>
    <row s="32343" customFormat="1" customHeight="1" ht="18.75" hidden="1">
      <c r="A79" s="2146" t="s">
        <v>311</v>
      </c>
      <c r="B79" s="2146" t="s">
        <v>312</v>
      </c>
      <c r="C79" s="730"/>
      <c r="D79" s="2734"/>
      <c r="E79" s="2477"/>
      <c r="F79" s="2643" t="str">
        <f>INDEX(PT_DIFFERENTIATION_VTAR,MATCH(A79,PT_DIFFERENTIATION_VTAR_ID,0))</f>
        <v>Тариф на транспортировку сточных вод</v>
      </c>
      <c r="G79" s="2689" t="str">
        <f>INDEX(PT_DIFFERENTIATION_NTAR,MATCH(B79,PT_DIFFERENTIATION_NTAR_ID,0))</f>
        <v/>
      </c>
      <c r="H79" s="2229"/>
      <c r="I79" s="2105"/>
      <c r="J79" s="2139"/>
      <c r="K79" s="2232"/>
      <c r="L79" s="2229" t="s">
        <v>347</v>
      </c>
      <c r="M79" s="2437"/>
      <c r="N79" s="695"/>
      <c r="O79" s="1990"/>
      <c r="P79" s="1990"/>
    </row>
    <row s="32343" customFormat="1" customHeight="1" ht="18.75" hidden="1">
      <c r="A80" s="2146"/>
      <c r="B80" s="2146"/>
      <c r="C80" s="730" t="s">
        <v>1116</v>
      </c>
      <c r="D80" s="2734"/>
      <c r="E80" s="2477"/>
      <c r="F80" s="2643"/>
      <c r="G80" s="2689"/>
      <c r="H80" s="1866"/>
      <c r="I80" s="1012" t="s">
        <v>1117</v>
      </c>
      <c r="J80" s="932"/>
      <c r="K80" s="1866"/>
      <c r="L80" s="575"/>
      <c r="M80" s="2437"/>
      <c r="N80" s="695"/>
      <c r="O80" s="1990"/>
      <c r="P80" s="1990"/>
    </row>
    <row s="32343" customFormat="1" customHeight="1" ht="0.75" hidden="1">
      <c r="A81" s="2146"/>
      <c r="B81" s="2146"/>
      <c r="C81" s="730" t="s">
        <v>1122</v>
      </c>
      <c r="D81" s="2734"/>
      <c r="E81" s="2477"/>
      <c r="F81" s="2643"/>
      <c r="G81" s="761"/>
      <c r="H81" s="1866"/>
      <c r="I81" s="1012"/>
      <c r="J81" s="932"/>
      <c r="K81" s="1866"/>
      <c r="L81" s="575"/>
      <c r="M81" s="2437"/>
      <c r="N81" s="695"/>
      <c r="O81" s="1990"/>
      <c r="P81" s="1990"/>
    </row>
    <row s="32343" customFormat="1" customHeight="1" ht="18.75" hidden="1">
      <c r="A82" s="2146" t="s">
        <v>316</v>
      </c>
      <c r="B82" s="2146" t="s">
        <v>317</v>
      </c>
      <c r="C82" s="730"/>
      <c r="D82" s="2734"/>
      <c r="E82" s="2477"/>
      <c r="F82" s="2643" t="str">
        <f>INDEX(PT_DIFFERENTIATION_VTAR,MATCH(A82,PT_DIFFERENTIATION_VTAR_ID,0))</f>
        <v>Тариф на подключение (технологическое присоединение) к централизованной системе водоотведения</v>
      </c>
      <c r="G82" s="2689" t="str">
        <f>INDEX(PT_DIFFERENTIATION_NTAR,MATCH(B82,PT_DIFFERENTIATION_NTAR_ID,0))</f>
        <v/>
      </c>
      <c r="H82" s="2229"/>
      <c r="I82" s="2105"/>
      <c r="J82" s="2139"/>
      <c r="K82" s="2232"/>
      <c r="L82" s="2229" t="s">
        <v>347</v>
      </c>
      <c r="M82" s="2437"/>
      <c r="N82" s="695"/>
      <c r="O82" s="1990"/>
      <c r="P82" s="1990"/>
    </row>
    <row s="32343" customFormat="1" customHeight="1" ht="18.75" hidden="1">
      <c r="A83" s="2146"/>
      <c r="B83" s="2146"/>
      <c r="C83" s="730" t="s">
        <v>1116</v>
      </c>
      <c r="D83" s="2734"/>
      <c r="E83" s="2477"/>
      <c r="F83" s="2643"/>
      <c r="G83" s="2689"/>
      <c r="H83" s="1866"/>
      <c r="I83" s="1012" t="s">
        <v>1117</v>
      </c>
      <c r="J83" s="932"/>
      <c r="K83" s="1866"/>
      <c r="L83" s="575"/>
      <c r="M83" s="2437"/>
      <c r="N83" s="695"/>
      <c r="O83" s="1990"/>
      <c r="P83" s="1990"/>
    </row>
    <row s="32343" customFormat="1" customHeight="1" ht="0.75">
      <c r="A84" s="2146"/>
      <c r="B84" s="2146"/>
      <c r="C84" s="730" t="s">
        <v>1122</v>
      </c>
      <c r="D84" s="2734"/>
      <c r="E84" s="2477"/>
      <c r="F84" s="2643"/>
      <c r="G84" s="761"/>
      <c r="H84" s="1866"/>
      <c r="I84" s="1012"/>
      <c r="J84" s="932"/>
      <c r="K84" s="1866"/>
      <c r="L84" s="575"/>
      <c r="M84" s="2437"/>
      <c r="N84" s="695"/>
      <c r="O84" s="1990"/>
      <c r="P84" s="1990"/>
    </row>
    <row customHeight="1" ht="18.75">
      <c r="A85" s="2146"/>
      <c r="B85" s="2146"/>
      <c r="D85" s="737"/>
      <c r="E85" s="509" t="s">
        <v>102</v>
      </c>
      <c r="F85" s="272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5" s="2726"/>
      <c r="H85" s="2726"/>
      <c r="I85" s="2726"/>
      <c r="J85" s="2726"/>
      <c r="K85" s="2726"/>
      <c r="L85" s="2726"/>
      <c r="M85" s="658"/>
      <c r="N85" s="695"/>
    </row>
    <row customHeight="1" ht="33.75">
      <c r="A86" s="2146"/>
      <c r="B86" s="2146"/>
      <c r="D86" s="737"/>
      <c r="E86" s="760"/>
      <c r="F86" s="559" t="s">
        <v>347</v>
      </c>
      <c r="G86" s="559" t="s">
        <v>347</v>
      </c>
      <c r="H86" s="2488" t="s">
        <v>347</v>
      </c>
      <c r="I86" s="2504"/>
      <c r="J86" s="559" t="s">
        <v>347</v>
      </c>
      <c r="K86" s="559" t="s">
        <v>347</v>
      </c>
      <c r="L86" s="762"/>
      <c r="M86" s="706" t="s">
        <v>1123</v>
      </c>
      <c r="N86" s="695"/>
    </row>
    <row customHeight="1" ht="18.75">
      <c r="A87" s="2146"/>
      <c r="B87" s="2146"/>
      <c r="D87" s="737"/>
      <c r="E87" s="509" t="s">
        <v>89</v>
      </c>
      <c r="F87" s="2726" t="s">
        <v>1124</v>
      </c>
      <c r="G87" s="2726"/>
      <c r="H87" s="2726"/>
      <c r="I87" s="2726"/>
      <c r="J87" s="2726"/>
      <c r="K87" s="2726"/>
      <c r="L87" s="2726"/>
      <c r="M87" s="658"/>
      <c r="N87" s="695"/>
    </row>
    <row s="32343" customFormat="1" customHeight="1" ht="60.75" hidden="1">
      <c r="A88" s="2146" t="s">
        <v>161</v>
      </c>
      <c r="B88" s="2146" t="s">
        <v>162</v>
      </c>
      <c r="C88" s="730"/>
      <c r="D88" s="2734"/>
      <c r="E88" s="2477"/>
      <c r="F88" s="2643" t="str">
        <f>INDEX(PT_DIFFERENTIATION_VTAR,MATCH(A88,PT_DIFFERENTIATION_VTAR_ID,0))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8" s="2689" t="str">
        <f>INDEX(PT_DIFFERENTIATION_NTAR,MATCH(B88,PT_DIFFERENTIATION_NTAR_ID,0))</f>
        <v/>
      </c>
      <c r="H88" s="2229"/>
      <c r="I88" s="2105"/>
      <c r="J88" s="2139"/>
      <c r="K88" s="2144"/>
      <c r="L88" s="2229" t="s">
        <v>347</v>
      </c>
      <c r="M88" s="24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8" s="695"/>
      <c r="O88" s="1990"/>
      <c r="P88" s="1990"/>
    </row>
    <row s="32343" customFormat="1" customHeight="1" ht="18.75" hidden="1">
      <c r="A89" s="2146"/>
      <c r="B89" s="2146"/>
      <c r="C89" s="730" t="s">
        <v>1118</v>
      </c>
      <c r="D89" s="2734"/>
      <c r="E89" s="2477"/>
      <c r="F89" s="2643"/>
      <c r="G89" s="2689"/>
      <c r="H89" s="1866"/>
      <c r="I89" s="1012" t="s">
        <v>1117</v>
      </c>
      <c r="J89" s="932"/>
      <c r="K89" s="1866"/>
      <c r="L89" s="575"/>
      <c r="M89" s="2437"/>
      <c r="N89" s="695"/>
      <c r="O89" s="1990"/>
      <c r="P89" s="1990"/>
    </row>
    <row s="32343" customFormat="1" customHeight="1" ht="0.75" hidden="1">
      <c r="A90" s="2146"/>
      <c r="B90" s="2146"/>
      <c r="C90" s="730" t="s">
        <v>1125</v>
      </c>
      <c r="D90" s="2734"/>
      <c r="E90" s="2477"/>
      <c r="F90" s="2643"/>
      <c r="G90" s="761"/>
      <c r="H90" s="1866"/>
      <c r="I90" s="1012"/>
      <c r="J90" s="932"/>
      <c r="K90" s="1866"/>
      <c r="L90" s="575"/>
      <c r="M90" s="2437"/>
      <c r="N90" s="695"/>
      <c r="O90" s="1990"/>
      <c r="P90" s="1990"/>
    </row>
    <row s="32343" customFormat="1" customHeight="1" ht="45" hidden="1">
      <c r="A91" s="2146" t="s">
        <v>167</v>
      </c>
      <c r="B91" s="2146" t="s">
        <v>168</v>
      </c>
      <c r="C91" s="730"/>
      <c r="D91" s="2734"/>
      <c r="E91" s="2477"/>
      <c r="F91" s="2643" t="str">
        <f>INDEX(PT_DIFFERENTIATION_VTAR,MATCH(A91,PT_DIFFERENTIATION_VTAR_ID,0))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1" s="2689" t="str">
        <f>INDEX(PT_DIFFERENTIATION_NTAR,MATCH(B91,PT_DIFFERENTIATION_NTAR_ID,0))</f>
        <v/>
      </c>
      <c r="H91" s="2229"/>
      <c r="I91" s="2105"/>
      <c r="J91" s="2139"/>
      <c r="K91" s="2144"/>
      <c r="L91" s="2229" t="s">
        <v>347</v>
      </c>
      <c r="M91" s="2438"/>
      <c r="N91" s="695"/>
      <c r="O91" s="1990"/>
      <c r="P91" s="1990"/>
    </row>
    <row s="32343" customFormat="1" customHeight="1" ht="18.75" hidden="1">
      <c r="A92" s="2146"/>
      <c r="B92" s="2146"/>
      <c r="C92" s="730" t="s">
        <v>1118</v>
      </c>
      <c r="D92" s="2734"/>
      <c r="E92" s="2477"/>
      <c r="F92" s="2643"/>
      <c r="G92" s="2689"/>
      <c r="H92" s="1866"/>
      <c r="I92" s="1012" t="s">
        <v>1117</v>
      </c>
      <c r="J92" s="932"/>
      <c r="K92" s="1866"/>
      <c r="L92" s="575"/>
      <c r="M92" s="2228"/>
      <c r="N92" s="695"/>
      <c r="O92" s="1990"/>
      <c r="P92" s="1990"/>
    </row>
    <row s="32343" customFormat="1" customHeight="1" ht="0.75" hidden="1">
      <c r="A93" s="2146"/>
      <c r="B93" s="2146"/>
      <c r="C93" s="730" t="s">
        <v>1125</v>
      </c>
      <c r="D93" s="2734"/>
      <c r="E93" s="2477"/>
      <c r="F93" s="2643"/>
      <c r="G93" s="761"/>
      <c r="H93" s="1866"/>
      <c r="I93" s="1012"/>
      <c r="J93" s="932"/>
      <c r="K93" s="1866"/>
      <c r="L93" s="575"/>
      <c r="M93" s="702"/>
      <c r="N93" s="695"/>
      <c r="O93" s="1990"/>
      <c r="P93" s="1990"/>
    </row>
    <row s="32343" customFormat="1" customHeight="1" ht="45" hidden="1">
      <c r="A94" s="2146" t="s">
        <v>173</v>
      </c>
      <c r="B94" s="2146" t="s">
        <v>174</v>
      </c>
      <c r="C94" s="730"/>
      <c r="D94" s="2734"/>
      <c r="E94" s="2477"/>
      <c r="F94" s="2643" t="str">
        <f>INDEX(PT_DIFFERENTIATION_VTAR,MATCH(A94,PT_DIFFERENTIATION_VTAR_ID,0))</f>
        <v>Тарифы на теплоноситель, поставляемый теплоснабжающими организациями потребителям, другим теплоснабжающим организациям</v>
      </c>
      <c r="G94" s="2689" t="str">
        <f>INDEX(PT_DIFFERENTIATION_NTAR,MATCH(B94,PT_DIFFERENTIATION_NTAR_ID,0))</f>
        <v/>
      </c>
      <c r="H94" s="2229"/>
      <c r="I94" s="2105"/>
      <c r="J94" s="2139"/>
      <c r="K94" s="2144"/>
      <c r="L94" s="2229" t="s">
        <v>347</v>
      </c>
      <c r="M94" s="702"/>
      <c r="N94" s="695"/>
      <c r="O94" s="1990"/>
      <c r="P94" s="1990"/>
    </row>
    <row s="32343" customFormat="1" customHeight="1" ht="18.75" hidden="1">
      <c r="A95" s="2146"/>
      <c r="B95" s="2146"/>
      <c r="C95" s="730" t="s">
        <v>1118</v>
      </c>
      <c r="D95" s="2734"/>
      <c r="E95" s="2477"/>
      <c r="F95" s="2643"/>
      <c r="G95" s="2689"/>
      <c r="H95" s="1866"/>
      <c r="I95" s="1012" t="s">
        <v>1117</v>
      </c>
      <c r="J95" s="932"/>
      <c r="K95" s="1866"/>
      <c r="L95" s="575"/>
      <c r="M95" s="702"/>
      <c r="N95" s="695"/>
      <c r="O95" s="1990"/>
      <c r="P95" s="1990"/>
    </row>
    <row s="32343" customFormat="1" customHeight="1" ht="0.75" hidden="1">
      <c r="A96" s="2146"/>
      <c r="B96" s="2146"/>
      <c r="C96" s="730" t="s">
        <v>1125</v>
      </c>
      <c r="D96" s="2734"/>
      <c r="E96" s="2477"/>
      <c r="F96" s="2643"/>
      <c r="G96" s="761"/>
      <c r="H96" s="1866"/>
      <c r="I96" s="1012"/>
      <c r="J96" s="932"/>
      <c r="K96" s="1866"/>
      <c r="L96" s="575"/>
      <c r="M96" s="702"/>
      <c r="N96" s="695"/>
      <c r="O96" s="1990"/>
      <c r="P96" s="1990"/>
    </row>
    <row s="32343" customFormat="1" customHeight="1" ht="45" hidden="1">
      <c r="A97" s="2146" t="s">
        <v>179</v>
      </c>
      <c r="B97" s="2146" t="s">
        <v>180</v>
      </c>
      <c r="C97" s="730"/>
      <c r="D97" s="2734"/>
      <c r="E97" s="2477"/>
      <c r="F97" s="2643" t="str">
        <f>INDEX(PT_DIFFERENTIATION_VTAR,MATCH(A97,PT_DIFFERENTIATION_VTAR_ID,0))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7" s="2689" t="str">
        <f>INDEX(PT_DIFFERENTIATION_NTAR,MATCH(B97,PT_DIFFERENTIATION_NTAR_ID,0))</f>
        <v/>
      </c>
      <c r="H97" s="2229"/>
      <c r="I97" s="2105"/>
      <c r="J97" s="2139"/>
      <c r="K97" s="2144"/>
      <c r="L97" s="2229" t="s">
        <v>347</v>
      </c>
      <c r="M97" s="702"/>
      <c r="N97" s="695"/>
      <c r="O97" s="1990"/>
      <c r="P97" s="1990"/>
    </row>
    <row s="32343" customFormat="1" customHeight="1" ht="18.75" hidden="1">
      <c r="A98" s="2146"/>
      <c r="B98" s="2146"/>
      <c r="C98" s="730" t="s">
        <v>1118</v>
      </c>
      <c r="D98" s="2734"/>
      <c r="E98" s="2477"/>
      <c r="F98" s="2643"/>
      <c r="G98" s="2689"/>
      <c r="H98" s="1866"/>
      <c r="I98" s="1012" t="s">
        <v>1117</v>
      </c>
      <c r="J98" s="932"/>
      <c r="K98" s="1866"/>
      <c r="L98" s="575"/>
      <c r="M98" s="702"/>
      <c r="N98" s="695"/>
      <c r="O98" s="1990"/>
      <c r="P98" s="1990"/>
    </row>
    <row s="32343" customFormat="1" customHeight="1" ht="0.75" hidden="1">
      <c r="A99" s="2146"/>
      <c r="B99" s="2146"/>
      <c r="C99" s="730" t="s">
        <v>1125</v>
      </c>
      <c r="D99" s="2734"/>
      <c r="E99" s="2477"/>
      <c r="F99" s="2643"/>
      <c r="G99" s="761"/>
      <c r="H99" s="1866"/>
      <c r="I99" s="1012"/>
      <c r="J99" s="932"/>
      <c r="K99" s="1866"/>
      <c r="L99" s="575"/>
      <c r="M99" s="702"/>
      <c r="N99" s="695"/>
      <c r="O99" s="1990"/>
      <c r="P99" s="1990"/>
    </row>
    <row s="32343" customFormat="1" customHeight="1" ht="18.75" hidden="1">
      <c r="A100" s="2146" t="s">
        <v>185</v>
      </c>
      <c r="B100" s="2146" t="s">
        <v>186</v>
      </c>
      <c r="C100" s="730"/>
      <c r="D100" s="2734"/>
      <c r="E100" s="2477"/>
      <c r="F100" s="2643" t="str">
        <f>INDEX(PT_DIFFERENTIATION_VTAR,MATCH(A100,PT_DIFFERENTIATION_VTAR_ID,0))</f>
        <v>Тарифы на услуги по передаче тепловой энергии</v>
      </c>
      <c r="G100" s="2689" t="str">
        <f>INDEX(PT_DIFFERENTIATION_NTAR,MATCH(B100,PT_DIFFERENTIATION_NTAR_ID,0))</f>
        <v/>
      </c>
      <c r="H100" s="2229"/>
      <c r="I100" s="2105"/>
      <c r="J100" s="2139"/>
      <c r="K100" s="2144"/>
      <c r="L100" s="2229" t="s">
        <v>347</v>
      </c>
      <c r="M100" s="702"/>
      <c r="N100" s="695"/>
      <c r="O100" s="1990"/>
      <c r="P100" s="1990"/>
    </row>
    <row s="32343" customFormat="1" customHeight="1" ht="18.75" hidden="1">
      <c r="A101" s="2146"/>
      <c r="B101" s="2146"/>
      <c r="C101" s="730" t="s">
        <v>1118</v>
      </c>
      <c r="D101" s="2734"/>
      <c r="E101" s="2477"/>
      <c r="F101" s="2643"/>
      <c r="G101" s="2689"/>
      <c r="H101" s="1866"/>
      <c r="I101" s="1012" t="s">
        <v>1117</v>
      </c>
      <c r="J101" s="932"/>
      <c r="K101" s="1866"/>
      <c r="L101" s="575"/>
      <c r="M101" s="702"/>
      <c r="N101" s="695"/>
      <c r="O101" s="1990"/>
      <c r="P101" s="1990"/>
    </row>
    <row s="32343" customFormat="1" customHeight="1" ht="0.75" hidden="1">
      <c r="A102" s="2146"/>
      <c r="B102" s="2146"/>
      <c r="C102" s="730" t="s">
        <v>1125</v>
      </c>
      <c r="D102" s="2734"/>
      <c r="E102" s="2477"/>
      <c r="F102" s="2643"/>
      <c r="G102" s="761"/>
      <c r="H102" s="1866"/>
      <c r="I102" s="1012"/>
      <c r="J102" s="932"/>
      <c r="K102" s="1866"/>
      <c r="L102" s="575"/>
      <c r="M102" s="702"/>
      <c r="N102" s="695"/>
      <c r="O102" s="1990"/>
      <c r="P102" s="1990"/>
    </row>
    <row s="32343" customFormat="1" customHeight="1" ht="18.75" hidden="1">
      <c r="A103" s="2146" t="s">
        <v>191</v>
      </c>
      <c r="B103" s="2146" t="s">
        <v>192</v>
      </c>
      <c r="C103" s="730"/>
      <c r="D103" s="2734"/>
      <c r="E103" s="2477"/>
      <c r="F103" s="2643" t="str">
        <f>INDEX(PT_DIFFERENTIATION_VTAR,MATCH(A103,PT_DIFFERENTIATION_VTAR_ID,0))</f>
        <v>Тарифы на услуги по передаче теплоносителя</v>
      </c>
      <c r="G103" s="2689" t="str">
        <f>INDEX(PT_DIFFERENTIATION_NTAR,MATCH(B103,PT_DIFFERENTIATION_NTAR_ID,0))</f>
        <v/>
      </c>
      <c r="H103" s="2229"/>
      <c r="I103" s="2105"/>
      <c r="J103" s="2139"/>
      <c r="K103" s="2144"/>
      <c r="L103" s="2229" t="s">
        <v>347</v>
      </c>
      <c r="M103" s="702"/>
      <c r="N103" s="695"/>
      <c r="O103" s="1990"/>
      <c r="P103" s="1990"/>
    </row>
    <row s="32343" customFormat="1" customHeight="1" ht="18.75" hidden="1">
      <c r="A104" s="2146"/>
      <c r="B104" s="2146"/>
      <c r="C104" s="730" t="s">
        <v>1118</v>
      </c>
      <c r="D104" s="2734"/>
      <c r="E104" s="2477"/>
      <c r="F104" s="2643"/>
      <c r="G104" s="2689"/>
      <c r="H104" s="1866"/>
      <c r="I104" s="1012" t="s">
        <v>1117</v>
      </c>
      <c r="J104" s="932"/>
      <c r="K104" s="1866"/>
      <c r="L104" s="575"/>
      <c r="M104" s="702"/>
      <c r="N104" s="695"/>
      <c r="O104" s="1990"/>
      <c r="P104" s="1990"/>
    </row>
    <row s="32343" customFormat="1" customHeight="1" ht="0.75" hidden="1">
      <c r="A105" s="2146"/>
      <c r="B105" s="2146"/>
      <c r="C105" s="730" t="s">
        <v>1125</v>
      </c>
      <c r="D105" s="2734"/>
      <c r="E105" s="2477"/>
      <c r="F105" s="2643"/>
      <c r="G105" s="761"/>
      <c r="H105" s="1866"/>
      <c r="I105" s="1012"/>
      <c r="J105" s="932"/>
      <c r="K105" s="1866"/>
      <c r="L105" s="575"/>
      <c r="M105" s="702"/>
      <c r="N105" s="695"/>
      <c r="O105" s="1990"/>
      <c r="P105" s="1990"/>
    </row>
    <row s="32343" customFormat="1" customHeight="1" ht="18.75" hidden="1">
      <c r="A106" s="2146" t="s">
        <v>197</v>
      </c>
      <c r="B106" s="2146" t="s">
        <v>198</v>
      </c>
      <c r="C106" s="730"/>
      <c r="D106" s="2734"/>
      <c r="E106" s="2477"/>
      <c r="F106" s="2643" t="str">
        <f>INDEX(PT_DIFFERENTIATION_VTAR,MATCH(A106,PT_DIFFERENTIATION_VTAR_ID,0))</f>
        <v>Плата за услуги по поддержанию резервной тепловой мощности при отсутствии потребления тепловой энергии</v>
      </c>
      <c r="G106" s="2689" t="str">
        <f>INDEX(PT_DIFFERENTIATION_NTAR,MATCH(B106,PT_DIFFERENTIATION_NTAR_ID,0))</f>
        <v/>
      </c>
      <c r="H106" s="2229"/>
      <c r="I106" s="2105"/>
      <c r="J106" s="2139"/>
      <c r="K106" s="2144"/>
      <c r="L106" s="2229" t="s">
        <v>347</v>
      </c>
      <c r="M106" s="702"/>
      <c r="N106" s="695"/>
      <c r="O106" s="1990"/>
      <c r="P106" s="1990"/>
    </row>
    <row s="32343" customFormat="1" customHeight="1" ht="18.75" hidden="1">
      <c r="A107" s="2146"/>
      <c r="B107" s="2146"/>
      <c r="C107" s="730" t="s">
        <v>1118</v>
      </c>
      <c r="D107" s="2734"/>
      <c r="E107" s="2477"/>
      <c r="F107" s="2643"/>
      <c r="G107" s="2689"/>
      <c r="H107" s="1866"/>
      <c r="I107" s="1012" t="s">
        <v>1117</v>
      </c>
      <c r="J107" s="932"/>
      <c r="K107" s="1866"/>
      <c r="L107" s="575"/>
      <c r="M107" s="702"/>
      <c r="N107" s="695"/>
      <c r="O107" s="1990"/>
      <c r="P107" s="1990"/>
    </row>
    <row s="32343" customFormat="1" customHeight="1" ht="0.75" hidden="1">
      <c r="A108" s="2146"/>
      <c r="B108" s="2146"/>
      <c r="C108" s="730" t="s">
        <v>1125</v>
      </c>
      <c r="D108" s="2734"/>
      <c r="E108" s="2477"/>
      <c r="F108" s="2643"/>
      <c r="G108" s="761"/>
      <c r="H108" s="1866"/>
      <c r="I108" s="1012"/>
      <c r="J108" s="932"/>
      <c r="K108" s="1866"/>
      <c r="L108" s="575"/>
      <c r="M108" s="702"/>
      <c r="N108" s="695"/>
      <c r="O108" s="1990"/>
      <c r="P108" s="1990"/>
    </row>
    <row s="32343" customFormat="1" customHeight="1" ht="18.75" hidden="1">
      <c r="A109" s="2146" t="s">
        <v>203</v>
      </c>
      <c r="B109" s="2146" t="s">
        <v>204</v>
      </c>
      <c r="C109" s="730"/>
      <c r="D109" s="2734"/>
      <c r="E109" s="2477"/>
      <c r="F109" s="2643" t="str">
        <f>INDEX(PT_DIFFERENTIATION_VTAR,MATCH(A109,PT_DIFFERENTIATION_VTAR_ID,0))</f>
        <v>Плата за подключение (технологическое присоединение) к системе теплоснабжения</v>
      </c>
      <c r="G109" s="2689" t="str">
        <f>INDEX(PT_DIFFERENTIATION_NTAR,MATCH(B109,PT_DIFFERENTIATION_NTAR_ID,0))</f>
        <v/>
      </c>
      <c r="H109" s="2229"/>
      <c r="I109" s="2105"/>
      <c r="J109" s="2139"/>
      <c r="K109" s="2144"/>
      <c r="L109" s="2229" t="s">
        <v>347</v>
      </c>
      <c r="M109" s="702"/>
      <c r="N109" s="695"/>
      <c r="O109" s="1990"/>
      <c r="P109" s="1990"/>
    </row>
    <row s="32343" customFormat="1" customHeight="1" ht="18.75" hidden="1">
      <c r="A110" s="2146"/>
      <c r="B110" s="2146"/>
      <c r="C110" s="730" t="s">
        <v>1118</v>
      </c>
      <c r="D110" s="2734"/>
      <c r="E110" s="2477"/>
      <c r="F110" s="2643"/>
      <c r="G110" s="2689"/>
      <c r="H110" s="1866"/>
      <c r="I110" s="1012" t="s">
        <v>1117</v>
      </c>
      <c r="J110" s="932"/>
      <c r="K110" s="1866"/>
      <c r="L110" s="575"/>
      <c r="M110" s="702"/>
      <c r="N110" s="695"/>
      <c r="O110" s="1990"/>
      <c r="P110" s="1990"/>
    </row>
    <row s="32343" customFormat="1" customHeight="1" ht="0.75" hidden="1">
      <c r="A111" s="2146"/>
      <c r="B111" s="2146"/>
      <c r="C111" s="730" t="s">
        <v>1125</v>
      </c>
      <c r="D111" s="2734"/>
      <c r="E111" s="2477"/>
      <c r="F111" s="2643"/>
      <c r="G111" s="761"/>
      <c r="H111" s="1866"/>
      <c r="I111" s="1012"/>
      <c r="J111" s="932"/>
      <c r="K111" s="1866"/>
      <c r="L111" s="575"/>
      <c r="M111" s="702"/>
      <c r="N111" s="695"/>
      <c r="O111" s="1990"/>
      <c r="P111" s="1990"/>
    </row>
    <row s="32343" customFormat="1" customHeight="1" ht="18.75" hidden="1">
      <c r="A112" s="2146" t="s">
        <v>229</v>
      </c>
      <c r="B112" s="2146" t="s">
        <v>230</v>
      </c>
      <c r="C112" s="730"/>
      <c r="D112" s="2734"/>
      <c r="E112" s="2477"/>
      <c r="F112" s="2643" t="str">
        <f>INDEX(PT_DIFFERENTIATION_VTAR,MATCH(A112,PT_DIFFERENTIATION_VTAR_ID,0))</f>
        <v>Тариф на питьевую воду (питьевое водоснабжение)</v>
      </c>
      <c r="G112" s="2689" t="str">
        <f>INDEX(PT_DIFFERENTIATION_NTAR,MATCH(B112,PT_DIFFERENTIATION_NTAR_ID,0))</f>
        <v/>
      </c>
      <c r="H112" s="2229"/>
      <c r="I112" s="2105"/>
      <c r="J112" s="2139"/>
      <c r="K112" s="2144"/>
      <c r="L112" s="2229" t="s">
        <v>347</v>
      </c>
      <c r="M112" s="702"/>
      <c r="N112" s="695"/>
      <c r="O112" s="1990"/>
      <c r="P112" s="1990"/>
    </row>
    <row s="32343" customFormat="1" customHeight="1" ht="18.75" hidden="1">
      <c r="A113" s="2146"/>
      <c r="B113" s="2146"/>
      <c r="C113" s="730" t="s">
        <v>1118</v>
      </c>
      <c r="D113" s="2734"/>
      <c r="E113" s="2477"/>
      <c r="F113" s="2643"/>
      <c r="G113" s="2689"/>
      <c r="H113" s="1866"/>
      <c r="I113" s="1012" t="s">
        <v>1117</v>
      </c>
      <c r="J113" s="932"/>
      <c r="K113" s="1866"/>
      <c r="L113" s="575"/>
      <c r="M113" s="702"/>
      <c r="N113" s="695"/>
      <c r="O113" s="1990"/>
      <c r="P113" s="1990"/>
    </row>
    <row s="32343" customFormat="1" customHeight="1" ht="0.75" hidden="1">
      <c r="A114" s="2146"/>
      <c r="B114" s="2146"/>
      <c r="C114" s="730" t="s">
        <v>1125</v>
      </c>
      <c r="D114" s="2734"/>
      <c r="E114" s="2477"/>
      <c r="F114" s="2643"/>
      <c r="G114" s="761"/>
      <c r="H114" s="1866"/>
      <c r="I114" s="1012"/>
      <c r="J114" s="932"/>
      <c r="K114" s="1866"/>
      <c r="L114" s="575"/>
      <c r="M114" s="702"/>
      <c r="N114" s="695"/>
      <c r="O114" s="1990"/>
      <c r="P114" s="1990"/>
    </row>
    <row s="32343" customFormat="1" customHeight="1" ht="18.75" hidden="1">
      <c r="A115" s="2146" t="s">
        <v>234</v>
      </c>
      <c r="B115" s="2146" t="s">
        <v>235</v>
      </c>
      <c r="C115" s="730"/>
      <c r="D115" s="2734"/>
      <c r="E115" s="2477"/>
      <c r="F115" s="2643" t="str">
        <f>INDEX(PT_DIFFERENTIATION_VTAR,MATCH(A115,PT_DIFFERENTIATION_VTAR_ID,0))</f>
        <v>Тариф на техническую воду</v>
      </c>
      <c r="G115" s="2689" t="str">
        <f>INDEX(PT_DIFFERENTIATION_NTAR,MATCH(B115,PT_DIFFERENTIATION_NTAR_ID,0))</f>
        <v/>
      </c>
      <c r="H115" s="2229"/>
      <c r="I115" s="2105"/>
      <c r="J115" s="2139"/>
      <c r="K115" s="2144"/>
      <c r="L115" s="2229" t="s">
        <v>347</v>
      </c>
      <c r="M115" s="702"/>
      <c r="N115" s="695"/>
      <c r="O115" s="1990"/>
      <c r="P115" s="1990"/>
    </row>
    <row s="32343" customFormat="1" customHeight="1" ht="18.75" hidden="1">
      <c r="A116" s="2146"/>
      <c r="B116" s="2146"/>
      <c r="C116" s="730" t="s">
        <v>1118</v>
      </c>
      <c r="D116" s="2734"/>
      <c r="E116" s="2477"/>
      <c r="F116" s="2643"/>
      <c r="G116" s="2689"/>
      <c r="H116" s="1866"/>
      <c r="I116" s="1012" t="s">
        <v>1117</v>
      </c>
      <c r="J116" s="932"/>
      <c r="K116" s="1866"/>
      <c r="L116" s="575"/>
      <c r="M116" s="702"/>
      <c r="N116" s="695"/>
      <c r="O116" s="1990"/>
      <c r="P116" s="1990"/>
    </row>
    <row s="32343" customFormat="1" customHeight="1" ht="0.75" hidden="1">
      <c r="A117" s="2146"/>
      <c r="B117" s="2146"/>
      <c r="C117" s="730" t="s">
        <v>1125</v>
      </c>
      <c r="D117" s="2734"/>
      <c r="E117" s="2477"/>
      <c r="F117" s="2643"/>
      <c r="G117" s="761"/>
      <c r="H117" s="1866"/>
      <c r="I117" s="1012"/>
      <c r="J117" s="932"/>
      <c r="K117" s="1866"/>
      <c r="L117" s="575"/>
      <c r="M117" s="702"/>
      <c r="N117" s="695"/>
      <c r="O117" s="1990"/>
      <c r="P117" s="1990"/>
    </row>
    <row s="32343" customFormat="1" customHeight="1" ht="18.75" hidden="1">
      <c r="A118" s="2146" t="s">
        <v>239</v>
      </c>
      <c r="B118" s="2146" t="s">
        <v>240</v>
      </c>
      <c r="C118" s="730"/>
      <c r="D118" s="2734"/>
      <c r="E118" s="2477"/>
      <c r="F118" s="2643" t="str">
        <f>INDEX(PT_DIFFERENTIATION_VTAR,MATCH(A118,PT_DIFFERENTIATION_VTAR_ID,0))</f>
        <v>Тариф на транспортировку воды</v>
      </c>
      <c r="G118" s="2689" t="str">
        <f>INDEX(PT_DIFFERENTIATION_NTAR,MATCH(B118,PT_DIFFERENTIATION_NTAR_ID,0))</f>
        <v/>
      </c>
      <c r="H118" s="2229"/>
      <c r="I118" s="2105"/>
      <c r="J118" s="2139"/>
      <c r="K118" s="2144"/>
      <c r="L118" s="2229" t="s">
        <v>347</v>
      </c>
      <c r="M118" s="702"/>
      <c r="N118" s="695"/>
      <c r="O118" s="1990"/>
      <c r="P118" s="1990"/>
    </row>
    <row s="32343" customFormat="1" customHeight="1" ht="18.75" hidden="1">
      <c r="A119" s="2146"/>
      <c r="B119" s="2146"/>
      <c r="C119" s="730" t="s">
        <v>1118</v>
      </c>
      <c r="D119" s="2734"/>
      <c r="E119" s="2477"/>
      <c r="F119" s="2643"/>
      <c r="G119" s="2689"/>
      <c r="H119" s="1866"/>
      <c r="I119" s="1012" t="s">
        <v>1117</v>
      </c>
      <c r="J119" s="932"/>
      <c r="K119" s="1866"/>
      <c r="L119" s="575"/>
      <c r="M119" s="702"/>
      <c r="N119" s="695"/>
      <c r="O119" s="1990"/>
      <c r="P119" s="1990"/>
    </row>
    <row s="32343" customFormat="1" customHeight="1" ht="0.75" hidden="1">
      <c r="A120" s="2146"/>
      <c r="B120" s="2146"/>
      <c r="C120" s="730" t="s">
        <v>1125</v>
      </c>
      <c r="D120" s="2734"/>
      <c r="E120" s="2477"/>
      <c r="F120" s="2643"/>
      <c r="G120" s="761"/>
      <c r="H120" s="1866"/>
      <c r="I120" s="1012"/>
      <c r="J120" s="932"/>
      <c r="K120" s="1866"/>
      <c r="L120" s="575"/>
      <c r="M120" s="702"/>
      <c r="N120" s="695"/>
      <c r="O120" s="1990"/>
      <c r="P120" s="1990"/>
    </row>
    <row s="32343" customFormat="1" customHeight="1" ht="18.75" hidden="1">
      <c r="A121" s="2146" t="s">
        <v>244</v>
      </c>
      <c r="B121" s="2146" t="s">
        <v>245</v>
      </c>
      <c r="C121" s="730"/>
      <c r="D121" s="2734"/>
      <c r="E121" s="2477"/>
      <c r="F121" s="2643" t="str">
        <f>INDEX(PT_DIFFERENTIATION_VTAR,MATCH(A121,PT_DIFFERENTIATION_VTAR_ID,0))</f>
        <v>Тариф на подвоз воды</v>
      </c>
      <c r="G121" s="2689" t="str">
        <f>INDEX(PT_DIFFERENTIATION_NTAR,MATCH(B121,PT_DIFFERENTIATION_NTAR_ID,0))</f>
        <v/>
      </c>
      <c r="H121" s="2229"/>
      <c r="I121" s="2105"/>
      <c r="J121" s="2139"/>
      <c r="K121" s="2144"/>
      <c r="L121" s="2229" t="s">
        <v>347</v>
      </c>
      <c r="M121" s="702"/>
      <c r="N121" s="695"/>
      <c r="O121" s="1990"/>
      <c r="P121" s="1990"/>
    </row>
    <row s="32343" customFormat="1" customHeight="1" ht="18.75" hidden="1">
      <c r="A122" s="2146"/>
      <c r="B122" s="2146"/>
      <c r="C122" s="730" t="s">
        <v>1118</v>
      </c>
      <c r="D122" s="2734"/>
      <c r="E122" s="2477"/>
      <c r="F122" s="2643"/>
      <c r="G122" s="2689"/>
      <c r="H122" s="1866"/>
      <c r="I122" s="1012" t="s">
        <v>1117</v>
      </c>
      <c r="J122" s="932"/>
      <c r="K122" s="1866"/>
      <c r="L122" s="575"/>
      <c r="M122" s="702"/>
      <c r="N122" s="695"/>
      <c r="O122" s="1990"/>
      <c r="P122" s="1990"/>
    </row>
    <row s="32343" customFormat="1" customHeight="1" ht="0.75" hidden="1">
      <c r="A123" s="2146"/>
      <c r="B123" s="2146"/>
      <c r="C123" s="730" t="s">
        <v>1125</v>
      </c>
      <c r="D123" s="2734"/>
      <c r="E123" s="2477"/>
      <c r="F123" s="2643"/>
      <c r="G123" s="761"/>
      <c r="H123" s="1866"/>
      <c r="I123" s="1012"/>
      <c r="J123" s="932"/>
      <c r="K123" s="1866"/>
      <c r="L123" s="575"/>
      <c r="M123" s="702"/>
      <c r="N123" s="695"/>
      <c r="O123" s="1990"/>
      <c r="P123" s="1990"/>
    </row>
    <row s="32343" customFormat="1" customHeight="1" ht="18.75" hidden="1">
      <c r="A124" s="2146" t="s">
        <v>249</v>
      </c>
      <c r="B124" s="2146" t="s">
        <v>250</v>
      </c>
      <c r="C124" s="730"/>
      <c r="D124" s="2734"/>
      <c r="E124" s="2477"/>
      <c r="F124" s="2643" t="str">
        <f>INDEX(PT_DIFFERENTIATION_VTAR,MATCH(A124,PT_DIFFERENTIATION_VTAR_ID,0))</f>
        <v>Тариф на подключение (технологическое присоединение) к централизованной системе холодного водоснабжения</v>
      </c>
      <c r="G124" s="2689" t="str">
        <f>INDEX(PT_DIFFERENTIATION_NTAR,MATCH(B124,PT_DIFFERENTIATION_NTAR_ID,0))</f>
        <v/>
      </c>
      <c r="H124" s="2229"/>
      <c r="I124" s="2105"/>
      <c r="J124" s="2139"/>
      <c r="K124" s="2144"/>
      <c r="L124" s="2229" t="s">
        <v>347</v>
      </c>
      <c r="M124" s="702"/>
      <c r="N124" s="695"/>
      <c r="O124" s="1990"/>
      <c r="P124" s="1990"/>
    </row>
    <row s="32343" customFormat="1" customHeight="1" ht="18.75" hidden="1">
      <c r="A125" s="2146"/>
      <c r="B125" s="2146"/>
      <c r="C125" s="730" t="s">
        <v>1118</v>
      </c>
      <c r="D125" s="2734"/>
      <c r="E125" s="2477"/>
      <c r="F125" s="2643"/>
      <c r="G125" s="2689"/>
      <c r="H125" s="1866"/>
      <c r="I125" s="1012" t="s">
        <v>1117</v>
      </c>
      <c r="J125" s="932"/>
      <c r="K125" s="1866"/>
      <c r="L125" s="575"/>
      <c r="M125" s="702"/>
      <c r="N125" s="695"/>
      <c r="O125" s="1990"/>
      <c r="P125" s="1990"/>
    </row>
    <row s="32343" customFormat="1" customHeight="1" ht="0.75" hidden="1">
      <c r="A126" s="2146"/>
      <c r="B126" s="2146"/>
      <c r="C126" s="730" t="s">
        <v>1125</v>
      </c>
      <c r="D126" s="2734"/>
      <c r="E126" s="2477"/>
      <c r="F126" s="2643"/>
      <c r="G126" s="761"/>
      <c r="H126" s="1866"/>
      <c r="I126" s="1012"/>
      <c r="J126" s="932"/>
      <c r="K126" s="1866"/>
      <c r="L126" s="575"/>
      <c r="M126" s="702"/>
      <c r="N126" s="695"/>
      <c r="O126" s="1990"/>
      <c r="P126" s="1990"/>
    </row>
    <row s="32343" customFormat="1" customHeight="1" ht="18.75" hidden="1">
      <c r="A127" s="2146" t="s">
        <v>258</v>
      </c>
      <c r="B127" s="2146" t="s">
        <v>259</v>
      </c>
      <c r="C127" s="730"/>
      <c r="D127" s="2734"/>
      <c r="E127" s="2477"/>
      <c r="F127" s="2643" t="str">
        <f>INDEX(PT_DIFFERENTIATION_VTAR,MATCH(A127,PT_DIFFERENTIATION_VTAR_ID,0))</f>
        <v>Тариф на горячую воду (горячее водоснабжение)</v>
      </c>
      <c r="G127" s="2689" t="str">
        <f>INDEX(PT_DIFFERENTIATION_NTAR,MATCH(B127,PT_DIFFERENTIATION_NTAR_ID,0))</f>
        <v>Тариф на горячую воду в закрытой системе горячего водоснабжения, поставляемую потребителям</v>
      </c>
      <c r="H127" s="2229"/>
      <c r="I127" s="2105"/>
      <c r="J127" s="2139"/>
      <c r="K127" s="2144"/>
      <c r="L127" s="2229" t="s">
        <v>347</v>
      </c>
      <c r="M127" s="702"/>
      <c r="N127" s="695"/>
      <c r="O127" s="1990"/>
      <c r="P127" s="1990"/>
    </row>
    <row s="32343" customFormat="1" customHeight="1" ht="18.75" hidden="1">
      <c r="A128" s="2146"/>
      <c r="B128" s="2146"/>
      <c r="C128" s="730" t="s">
        <v>1118</v>
      </c>
      <c r="D128" s="2734"/>
      <c r="E128" s="2477"/>
      <c r="F128" s="2643"/>
      <c r="G128" s="2689"/>
      <c r="H128" s="1866"/>
      <c r="I128" s="1012" t="s">
        <v>1117</v>
      </c>
      <c r="J128" s="932"/>
      <c r="K128" s="1866"/>
      <c r="L128" s="575"/>
      <c r="M128" s="702"/>
      <c r="N128" s="695"/>
      <c r="O128" s="1990"/>
      <c r="P128" s="1990"/>
    </row>
    <row s="37389" customFormat="1" customHeight="1" ht="18.75">
      <c r="A129" s="7451" t="s">
        <v>258</v>
      </c>
      <c r="B129" s="7451" t="s">
        <v>273</v>
      </c>
      <c r="C129" s="10694"/>
      <c r="D129" s="10695"/>
      <c r="E129" s="10696"/>
      <c r="F129" s="10696"/>
      <c r="G129" s="10697" t="str">
        <f>INDEX(PT_DIFFERENTIATION_NTAR,MATCH(B129,PT_DIFFERENTIATION_NTAR_ID,0))</f>
        <v>Тариф на горячую воду в закрытой системе горячего водоснабжения, поставляемую группе потребителей "население"</v>
      </c>
      <c r="H129" s="6911"/>
      <c r="I129" s="10698"/>
      <c r="J129" s="10699"/>
      <c r="K129" s="10716"/>
      <c r="L129" s="6911" t="s">
        <v>347</v>
      </c>
      <c r="M129" s="10701"/>
      <c r="N129" s="10702"/>
      <c r="O129" s="7194"/>
      <c r="P129" s="7194"/>
      <c r="Q129" s="6601"/>
      <c r="R129" s="6601"/>
      <c r="S129" s="6601"/>
      <c r="T129" s="6601"/>
      <c r="U129" s="6601"/>
      <c r="V129" s="6601"/>
      <c r="W129" s="6601"/>
      <c r="X129" s="6601"/>
      <c r="Y129" s="6601"/>
      <c r="Z129" s="6601"/>
      <c r="AA129" s="6601"/>
      <c r="AB129" s="6601"/>
      <c r="AC129" s="6601"/>
      <c r="AD129" s="6601"/>
      <c r="AE129" s="6601"/>
      <c r="AF129" s="6601"/>
      <c r="AG129" s="6601"/>
    </row>
    <row s="37389" customFormat="1" customHeight="1" ht="18.75">
      <c r="A130" s="7451"/>
      <c r="B130" s="7451"/>
      <c r="C130" s="10694" t="s">
        <v>1118</v>
      </c>
      <c r="D130" s="10695"/>
      <c r="E130" s="10696"/>
      <c r="F130" s="10696"/>
      <c r="G130" s="10697"/>
      <c r="H130" s="10717"/>
      <c r="I130" s="10718" t="s">
        <v>1117</v>
      </c>
      <c r="J130" s="10719"/>
      <c r="K130" s="10720"/>
      <c r="L130" s="10721"/>
      <c r="M130" s="10701"/>
      <c r="N130" s="10702"/>
      <c r="O130" s="7194"/>
      <c r="P130" s="7194"/>
      <c r="Q130" s="6601"/>
      <c r="R130" s="6601"/>
      <c r="S130" s="6601"/>
      <c r="T130" s="6601"/>
      <c r="U130" s="6601"/>
      <c r="V130" s="6601"/>
      <c r="W130" s="6601"/>
      <c r="X130" s="6601"/>
      <c r="Y130" s="6601"/>
      <c r="Z130" s="6601"/>
      <c r="AA130" s="6601"/>
      <c r="AB130" s="6601"/>
      <c r="AC130" s="6601"/>
      <c r="AD130" s="6601"/>
      <c r="AE130" s="6601"/>
      <c r="AF130" s="6601"/>
      <c r="AG130" s="6601"/>
    </row>
    <row s="37389" customFormat="1" customHeight="1" ht="18.75">
      <c r="A131" s="7451" t="s">
        <v>258</v>
      </c>
      <c r="B131" s="7451" t="s">
        <v>284</v>
      </c>
      <c r="C131" s="10694"/>
      <c r="D131" s="10695"/>
      <c r="E131" s="10696"/>
      <c r="F131" s="10696"/>
      <c r="G131" s="10697" t="str">
        <f>INDEX(PT_DIFFERENTIATION_NTAR,MATCH(B131,PT_DIFFERENTIATION_NTAR_ID,0))</f>
        <v>Тариф на горячую воду в закрытой системе горячего водоснабжения, поставляемую группе потребителей "потребители (кроме населения)"</v>
      </c>
      <c r="H131" s="6911"/>
      <c r="I131" s="10698"/>
      <c r="J131" s="10699"/>
      <c r="K131" s="10716"/>
      <c r="L131" s="6911" t="s">
        <v>347</v>
      </c>
      <c r="M131" s="10701"/>
      <c r="N131" s="10702"/>
      <c r="O131" s="7194"/>
      <c r="P131" s="7194"/>
      <c r="Q131" s="6601"/>
      <c r="R131" s="6601"/>
      <c r="S131" s="6601"/>
      <c r="T131" s="6601"/>
      <c r="U131" s="6601"/>
      <c r="V131" s="6601"/>
      <c r="W131" s="6601"/>
      <c r="X131" s="6601"/>
      <c r="Y131" s="6601"/>
      <c r="Z131" s="6601"/>
      <c r="AA131" s="6601"/>
      <c r="AB131" s="6601"/>
      <c r="AC131" s="6601"/>
      <c r="AD131" s="6601"/>
      <c r="AE131" s="6601"/>
      <c r="AF131" s="6601"/>
      <c r="AG131" s="6601"/>
    </row>
    <row s="37389" customFormat="1" customHeight="1" ht="18.75">
      <c r="A132" s="7451"/>
      <c r="B132" s="7451"/>
      <c r="C132" s="10694" t="s">
        <v>1118</v>
      </c>
      <c r="D132" s="10695"/>
      <c r="E132" s="10696"/>
      <c r="F132" s="10696"/>
      <c r="G132" s="10697"/>
      <c r="H132" s="10722"/>
      <c r="I132" s="10723" t="s">
        <v>1117</v>
      </c>
      <c r="J132" s="10724"/>
      <c r="K132" s="10725"/>
      <c r="L132" s="10726"/>
      <c r="M132" s="10701"/>
      <c r="N132" s="10702"/>
      <c r="O132" s="7194"/>
      <c r="P132" s="7194"/>
      <c r="Q132" s="6601"/>
      <c r="R132" s="6601"/>
      <c r="S132" s="6601"/>
      <c r="T132" s="6601"/>
      <c r="U132" s="6601"/>
      <c r="V132" s="6601"/>
      <c r="W132" s="6601"/>
      <c r="X132" s="6601"/>
      <c r="Y132" s="6601"/>
      <c r="Z132" s="6601"/>
      <c r="AA132" s="6601"/>
      <c r="AB132" s="6601"/>
      <c r="AC132" s="6601"/>
      <c r="AD132" s="6601"/>
      <c r="AE132" s="6601"/>
      <c r="AF132" s="6601"/>
      <c r="AG132" s="6601"/>
    </row>
    <row s="32343" customFormat="1" customHeight="1" ht="0.75" hidden="1">
      <c r="A133" s="2146"/>
      <c r="B133" s="2146"/>
      <c r="C133" s="730" t="s">
        <v>1125</v>
      </c>
      <c r="D133" s="2734"/>
      <c r="E133" s="2477"/>
      <c r="F133" s="2643"/>
      <c r="G133" s="761"/>
      <c r="H133" s="1866"/>
      <c r="I133" s="1012"/>
      <c r="J133" s="932"/>
      <c r="K133" s="1866"/>
      <c r="L133" s="575"/>
      <c r="M133" s="702"/>
      <c r="N133" s="695"/>
      <c r="O133" s="1990"/>
      <c r="P133" s="1990"/>
    </row>
    <row s="32343" customFormat="1" customHeight="1" ht="18.75" hidden="1">
      <c r="A134" s="2146" t="s">
        <v>296</v>
      </c>
      <c r="B134" s="2146" t="s">
        <v>297</v>
      </c>
      <c r="C134" s="730"/>
      <c r="D134" s="2734"/>
      <c r="E134" s="2477"/>
      <c r="F134" s="2643" t="str">
        <f>INDEX(PT_DIFFERENTIATION_VTAR,MATCH(A134,PT_DIFFERENTIATION_VTAR_ID,0))</f>
        <v>Тариф на транспортировку горячей воды</v>
      </c>
      <c r="G134" s="2689" t="str">
        <f>INDEX(PT_DIFFERENTIATION_NTAR,MATCH(B134,PT_DIFFERENTIATION_NTAR_ID,0))</f>
        <v/>
      </c>
      <c r="H134" s="2229"/>
      <c r="I134" s="2105"/>
      <c r="J134" s="2139"/>
      <c r="K134" s="2144"/>
      <c r="L134" s="2229" t="s">
        <v>347</v>
      </c>
      <c r="M134" s="702"/>
      <c r="N134" s="695"/>
      <c r="O134" s="1990"/>
      <c r="P134" s="1990"/>
    </row>
    <row s="32343" customFormat="1" customHeight="1" ht="18.75" hidden="1">
      <c r="A135" s="2146"/>
      <c r="B135" s="2146"/>
      <c r="C135" s="730" t="s">
        <v>1118</v>
      </c>
      <c r="D135" s="2734"/>
      <c r="E135" s="2477"/>
      <c r="F135" s="2643"/>
      <c r="G135" s="2689"/>
      <c r="H135" s="1866"/>
      <c r="I135" s="1012" t="s">
        <v>1117</v>
      </c>
      <c r="J135" s="932"/>
      <c r="K135" s="1866"/>
      <c r="L135" s="575"/>
      <c r="M135" s="702"/>
      <c r="N135" s="695"/>
      <c r="O135" s="1990"/>
      <c r="P135" s="1990"/>
    </row>
    <row s="32343" customFormat="1" customHeight="1" ht="0.75" hidden="1">
      <c r="A136" s="2146"/>
      <c r="B136" s="2146"/>
      <c r="C136" s="730" t="s">
        <v>1125</v>
      </c>
      <c r="D136" s="2734"/>
      <c r="E136" s="2477"/>
      <c r="F136" s="2643"/>
      <c r="G136" s="761"/>
      <c r="H136" s="1866"/>
      <c r="I136" s="1012"/>
      <c r="J136" s="932"/>
      <c r="K136" s="1866"/>
      <c r="L136" s="575"/>
      <c r="M136" s="702"/>
      <c r="N136" s="695"/>
      <c r="O136" s="1990"/>
      <c r="P136" s="1990"/>
    </row>
    <row s="32343" customFormat="1" customHeight="1" ht="18.75" hidden="1">
      <c r="A137" s="2146" t="s">
        <v>301</v>
      </c>
      <c r="B137" s="2146" t="s">
        <v>302</v>
      </c>
      <c r="C137" s="730"/>
      <c r="D137" s="2734"/>
      <c r="E137" s="2477"/>
      <c r="F137" s="2643" t="str">
        <f>INDEX(PT_DIFFERENTIATION_VTAR,MATCH(A137,PT_DIFFERENTIATION_VTAR_ID,0))</f>
        <v>Тариф на подключение (технологическое присоединение) к централизованной системе горячего водоснабжения</v>
      </c>
      <c r="G137" s="2689" t="str">
        <f>INDEX(PT_DIFFERENTIATION_NTAR,MATCH(B137,PT_DIFFERENTIATION_NTAR_ID,0))</f>
        <v/>
      </c>
      <c r="H137" s="2229"/>
      <c r="I137" s="2105"/>
      <c r="J137" s="2139"/>
      <c r="K137" s="2144"/>
      <c r="L137" s="2229" t="s">
        <v>347</v>
      </c>
      <c r="M137" s="702"/>
      <c r="N137" s="695"/>
      <c r="O137" s="1990"/>
      <c r="P137" s="1990"/>
    </row>
    <row s="32343" customFormat="1" customHeight="1" ht="18.75" hidden="1">
      <c r="A138" s="2146"/>
      <c r="B138" s="2146"/>
      <c r="C138" s="730" t="s">
        <v>1118</v>
      </c>
      <c r="D138" s="2734"/>
      <c r="E138" s="2477"/>
      <c r="F138" s="2643"/>
      <c r="G138" s="2689"/>
      <c r="H138" s="1866"/>
      <c r="I138" s="1012" t="s">
        <v>1117</v>
      </c>
      <c r="J138" s="932"/>
      <c r="K138" s="1866"/>
      <c r="L138" s="575"/>
      <c r="M138" s="702"/>
      <c r="N138" s="695"/>
      <c r="O138" s="1990"/>
      <c r="P138" s="1990"/>
    </row>
    <row s="32343" customFormat="1" customHeight="1" ht="0.75" hidden="1">
      <c r="A139" s="2146"/>
      <c r="B139" s="2146"/>
      <c r="C139" s="730" t="s">
        <v>1125</v>
      </c>
      <c r="D139" s="2734"/>
      <c r="E139" s="2477"/>
      <c r="F139" s="2643"/>
      <c r="G139" s="761"/>
      <c r="H139" s="1866"/>
      <c r="I139" s="1012"/>
      <c r="J139" s="932"/>
      <c r="K139" s="1866"/>
      <c r="L139" s="575"/>
      <c r="M139" s="702"/>
      <c r="N139" s="695"/>
      <c r="O139" s="1990"/>
      <c r="P139" s="1990"/>
    </row>
    <row s="32343" customFormat="1" customHeight="1" ht="18.75" hidden="1">
      <c r="A140" s="2146" t="s">
        <v>306</v>
      </c>
      <c r="B140" s="2146" t="s">
        <v>307</v>
      </c>
      <c r="C140" s="730"/>
      <c r="D140" s="2734"/>
      <c r="E140" s="2477"/>
      <c r="F140" s="2643" t="str">
        <f>INDEX(PT_DIFFERENTIATION_VTAR,MATCH(A140,PT_DIFFERENTIATION_VTAR_ID,0))</f>
        <v>Тариф на водоотведение</v>
      </c>
      <c r="G140" s="2689" t="str">
        <f>INDEX(PT_DIFFERENTIATION_NTAR,MATCH(B140,PT_DIFFERENTIATION_NTAR_ID,0))</f>
        <v/>
      </c>
      <c r="H140" s="2229"/>
      <c r="I140" s="2105"/>
      <c r="J140" s="2139"/>
      <c r="K140" s="2144"/>
      <c r="L140" s="2229" t="s">
        <v>347</v>
      </c>
      <c r="M140" s="702"/>
      <c r="N140" s="695"/>
      <c r="O140" s="1990"/>
      <c r="P140" s="1990"/>
    </row>
    <row s="32343" customFormat="1" customHeight="1" ht="18.75" hidden="1">
      <c r="A141" s="2146"/>
      <c r="B141" s="2146"/>
      <c r="C141" s="730" t="s">
        <v>1118</v>
      </c>
      <c r="D141" s="2734"/>
      <c r="E141" s="2477"/>
      <c r="F141" s="2643"/>
      <c r="G141" s="2689"/>
      <c r="H141" s="1866"/>
      <c r="I141" s="1012" t="s">
        <v>1117</v>
      </c>
      <c r="J141" s="932"/>
      <c r="K141" s="1866"/>
      <c r="L141" s="575"/>
      <c r="M141" s="702"/>
      <c r="N141" s="695"/>
      <c r="O141" s="1990"/>
      <c r="P141" s="1990"/>
    </row>
    <row s="32343" customFormat="1" customHeight="1" ht="0.75" hidden="1">
      <c r="A142" s="2146"/>
      <c r="B142" s="2146"/>
      <c r="C142" s="730" t="s">
        <v>1125</v>
      </c>
      <c r="D142" s="2734"/>
      <c r="E142" s="2477"/>
      <c r="F142" s="2643"/>
      <c r="G142" s="761"/>
      <c r="H142" s="1866"/>
      <c r="I142" s="1012"/>
      <c r="J142" s="932"/>
      <c r="K142" s="1866"/>
      <c r="L142" s="575"/>
      <c r="M142" s="702"/>
      <c r="N142" s="695"/>
      <c r="O142" s="1990"/>
      <c r="P142" s="1990"/>
    </row>
    <row s="32343" customFormat="1" customHeight="1" ht="18.75" hidden="1">
      <c r="A143" s="2146" t="s">
        <v>311</v>
      </c>
      <c r="B143" s="2146" t="s">
        <v>312</v>
      </c>
      <c r="C143" s="730"/>
      <c r="D143" s="2734"/>
      <c r="E143" s="2477"/>
      <c r="F143" s="2643" t="str">
        <f>INDEX(PT_DIFFERENTIATION_VTAR,MATCH(A143,PT_DIFFERENTIATION_VTAR_ID,0))</f>
        <v>Тариф на транспортировку сточных вод</v>
      </c>
      <c r="G143" s="2689" t="str">
        <f>INDEX(PT_DIFFERENTIATION_NTAR,MATCH(B143,PT_DIFFERENTIATION_NTAR_ID,0))</f>
        <v/>
      </c>
      <c r="H143" s="2229"/>
      <c r="I143" s="2105"/>
      <c r="J143" s="2139"/>
      <c r="K143" s="2144"/>
      <c r="L143" s="2229" t="s">
        <v>347</v>
      </c>
      <c r="M143" s="702"/>
      <c r="N143" s="695"/>
      <c r="O143" s="1990"/>
      <c r="P143" s="1990"/>
    </row>
    <row s="32343" customFormat="1" customHeight="1" ht="18.75" hidden="1">
      <c r="A144" s="2146"/>
      <c r="B144" s="2146"/>
      <c r="C144" s="730" t="s">
        <v>1118</v>
      </c>
      <c r="D144" s="2734"/>
      <c r="E144" s="2477"/>
      <c r="F144" s="2643"/>
      <c r="G144" s="2689"/>
      <c r="H144" s="1866"/>
      <c r="I144" s="1012" t="s">
        <v>1117</v>
      </c>
      <c r="J144" s="932"/>
      <c r="K144" s="1866"/>
      <c r="L144" s="575"/>
      <c r="M144" s="702"/>
      <c r="N144" s="695"/>
      <c r="O144" s="1990"/>
      <c r="P144" s="1990"/>
    </row>
    <row s="32343" customFormat="1" customHeight="1" ht="0.75" hidden="1">
      <c r="A145" s="2146"/>
      <c r="B145" s="2146"/>
      <c r="C145" s="730" t="s">
        <v>1125</v>
      </c>
      <c r="D145" s="2734"/>
      <c r="E145" s="2477"/>
      <c r="F145" s="2643"/>
      <c r="G145" s="761"/>
      <c r="H145" s="1866"/>
      <c r="I145" s="1012"/>
      <c r="J145" s="932"/>
      <c r="K145" s="1866"/>
      <c r="L145" s="575"/>
      <c r="M145" s="702"/>
      <c r="N145" s="695"/>
      <c r="O145" s="1990"/>
      <c r="P145" s="1990"/>
    </row>
    <row s="32343" customFormat="1" customHeight="1" ht="18.75" hidden="1">
      <c r="A146" s="2146" t="s">
        <v>316</v>
      </c>
      <c r="B146" s="2146" t="s">
        <v>317</v>
      </c>
      <c r="C146" s="730"/>
      <c r="D146" s="2734"/>
      <c r="E146" s="2477"/>
      <c r="F146" s="2643" t="str">
        <f>INDEX(PT_DIFFERENTIATION_VTAR,MATCH(A146,PT_DIFFERENTIATION_VTAR_ID,0))</f>
        <v>Тариф на подключение (технологическое присоединение) к централизованной системе водоотведения</v>
      </c>
      <c r="G146" s="2689" t="str">
        <f>INDEX(PT_DIFFERENTIATION_NTAR,MATCH(B146,PT_DIFFERENTIATION_NTAR_ID,0))</f>
        <v/>
      </c>
      <c r="H146" s="2229"/>
      <c r="I146" s="2105"/>
      <c r="J146" s="2139"/>
      <c r="K146" s="2144"/>
      <c r="L146" s="2229" t="s">
        <v>347</v>
      </c>
      <c r="M146" s="702"/>
      <c r="N146" s="695"/>
      <c r="O146" s="1990"/>
      <c r="P146" s="1990"/>
    </row>
    <row s="32343" customFormat="1" customHeight="1" ht="18.75" hidden="1">
      <c r="A147" s="2146"/>
      <c r="B147" s="2146"/>
      <c r="C147" s="730" t="s">
        <v>1118</v>
      </c>
      <c r="D147" s="2734"/>
      <c r="E147" s="2477"/>
      <c r="F147" s="2643"/>
      <c r="G147" s="2689"/>
      <c r="H147" s="1866"/>
      <c r="I147" s="1012" t="s">
        <v>1117</v>
      </c>
      <c r="J147" s="932"/>
      <c r="K147" s="1866"/>
      <c r="L147" s="575"/>
      <c r="M147" s="702"/>
      <c r="N147" s="695"/>
      <c r="O147" s="1990"/>
      <c r="P147" s="1990"/>
    </row>
    <row s="32343" customFormat="1" customHeight="1" ht="0.75">
      <c r="A148" s="2146"/>
      <c r="B148" s="2146"/>
      <c r="C148" s="730" t="s">
        <v>1125</v>
      </c>
      <c r="D148" s="2734"/>
      <c r="E148" s="2477"/>
      <c r="F148" s="2643"/>
      <c r="G148" s="761"/>
      <c r="H148" s="1866"/>
      <c r="I148" s="1012"/>
      <c r="J148" s="932"/>
      <c r="K148" s="1866"/>
      <c r="L148" s="575"/>
      <c r="M148" s="702"/>
      <c r="N148" s="695"/>
      <c r="O148" s="1990"/>
      <c r="P148" s="1990"/>
    </row>
    <row customHeight="1" ht="18.75">
      <c r="A149" s="2146"/>
      <c r="B149" s="2146"/>
      <c r="D149" s="737"/>
      <c r="E149" s="509" t="s">
        <v>90</v>
      </c>
      <c r="F149" s="272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9" s="2726"/>
      <c r="H149" s="2726"/>
      <c r="I149" s="2726"/>
      <c r="J149" s="2726"/>
      <c r="K149" s="2726"/>
      <c r="L149" s="2726"/>
      <c r="M149" s="658"/>
      <c r="N149" s="695"/>
    </row>
    <row s="32343" customFormat="1" customHeight="1" ht="60.75" hidden="1">
      <c r="A150" s="2146" t="s">
        <v>161</v>
      </c>
      <c r="B150" s="2146" t="s">
        <v>162</v>
      </c>
      <c r="C150" s="730"/>
      <c r="D150" s="2734"/>
      <c r="E150" s="2477"/>
      <c r="F150" s="2643"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689" t="str">
        <f>INDEX(PT_DIFFERENTIATION_NTAR,MATCH(B150,PT_DIFFERENTIATION_NTAR_ID,0))</f>
        <v/>
      </c>
      <c r="H150" s="2229"/>
      <c r="I150" s="2105"/>
      <c r="J150" s="2139"/>
      <c r="K150" s="2144"/>
      <c r="L150" s="2229" t="s">
        <v>347</v>
      </c>
      <c r="M150" s="24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0" s="695"/>
      <c r="O150" s="1990"/>
      <c r="P150" s="1990"/>
    </row>
    <row s="32343" customFormat="1" customHeight="1" ht="18.75" hidden="1">
      <c r="A151" s="2146"/>
      <c r="B151" s="2146"/>
      <c r="C151" s="730" t="s">
        <v>1118</v>
      </c>
      <c r="D151" s="2734"/>
      <c r="E151" s="2477"/>
      <c r="F151" s="2643"/>
      <c r="G151" s="2689"/>
      <c r="H151" s="1866"/>
      <c r="I151" s="1012" t="s">
        <v>1117</v>
      </c>
      <c r="J151" s="932"/>
      <c r="K151" s="1866"/>
      <c r="L151" s="575"/>
      <c r="M151" s="2437"/>
      <c r="N151" s="695"/>
      <c r="O151" s="1990"/>
      <c r="P151" s="1990"/>
    </row>
    <row s="32343" customFormat="1" customHeight="1" ht="0.75" hidden="1">
      <c r="A152" s="2146"/>
      <c r="B152" s="2146"/>
      <c r="C152" s="730" t="s">
        <v>1125</v>
      </c>
      <c r="D152" s="2734"/>
      <c r="E152" s="2477"/>
      <c r="F152" s="2643"/>
      <c r="G152" s="761"/>
      <c r="H152" s="1866"/>
      <c r="I152" s="1012"/>
      <c r="J152" s="932"/>
      <c r="K152" s="1866"/>
      <c r="L152" s="575"/>
      <c r="M152" s="2437"/>
      <c r="N152" s="695"/>
      <c r="O152" s="1990"/>
      <c r="P152" s="1990"/>
    </row>
    <row s="32343" customFormat="1" customHeight="1" ht="45" hidden="1">
      <c r="A153" s="2146" t="s">
        <v>167</v>
      </c>
      <c r="B153" s="2146" t="s">
        <v>168</v>
      </c>
      <c r="C153" s="730"/>
      <c r="D153" s="2734"/>
      <c r="E153" s="2477"/>
      <c r="F153" s="2643" t="str">
        <f>INDEX(PT_DIFFERENTIATION_VTAR,MATCH(A153,PT_DIFFERENTIATION_VTAR_ID,0))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3" s="2689" t="str">
        <f>INDEX(PT_DIFFERENTIATION_NTAR,MATCH(B153,PT_DIFFERENTIATION_NTAR_ID,0))</f>
        <v/>
      </c>
      <c r="H153" s="2229"/>
      <c r="I153" s="2105"/>
      <c r="J153" s="2139"/>
      <c r="K153" s="2144"/>
      <c r="L153" s="2229" t="s">
        <v>347</v>
      </c>
      <c r="M153" s="2438"/>
      <c r="N153" s="695"/>
      <c r="O153" s="1990"/>
      <c r="P153" s="1990"/>
    </row>
    <row s="32343" customFormat="1" customHeight="1" ht="18.75" hidden="1">
      <c r="A154" s="2146"/>
      <c r="B154" s="2146"/>
      <c r="C154" s="730" t="s">
        <v>1118</v>
      </c>
      <c r="D154" s="2734"/>
      <c r="E154" s="2477"/>
      <c r="F154" s="2643"/>
      <c r="G154" s="2689"/>
      <c r="H154" s="1866"/>
      <c r="I154" s="1012" t="s">
        <v>1117</v>
      </c>
      <c r="J154" s="932"/>
      <c r="K154" s="1866"/>
      <c r="L154" s="575"/>
      <c r="M154" s="2228"/>
      <c r="N154" s="695"/>
      <c r="O154" s="1990"/>
      <c r="P154" s="1990"/>
    </row>
    <row s="32343" customFormat="1" customHeight="1" ht="0.75" hidden="1">
      <c r="A155" s="2146"/>
      <c r="B155" s="2146"/>
      <c r="C155" s="730" t="s">
        <v>1125</v>
      </c>
      <c r="D155" s="2734"/>
      <c r="E155" s="2477"/>
      <c r="F155" s="2643"/>
      <c r="G155" s="761"/>
      <c r="H155" s="1866"/>
      <c r="I155" s="1012"/>
      <c r="J155" s="932"/>
      <c r="K155" s="1866"/>
      <c r="L155" s="575"/>
      <c r="M155" s="702"/>
      <c r="N155" s="695"/>
      <c r="O155" s="1990"/>
      <c r="P155" s="1990"/>
    </row>
    <row s="32343" customFormat="1" customHeight="1" ht="45" hidden="1">
      <c r="A156" s="2146" t="s">
        <v>173</v>
      </c>
      <c r="B156" s="2146" t="s">
        <v>174</v>
      </c>
      <c r="C156" s="730"/>
      <c r="D156" s="2734"/>
      <c r="E156" s="2477"/>
      <c r="F156" s="2643"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689" t="str">
        <f>INDEX(PT_DIFFERENTIATION_NTAR,MATCH(B156,PT_DIFFERENTIATION_NTAR_ID,0))</f>
        <v/>
      </c>
      <c r="H156" s="2229"/>
      <c r="I156" s="2105"/>
      <c r="J156" s="2139"/>
      <c r="K156" s="2144"/>
      <c r="L156" s="2229" t="s">
        <v>347</v>
      </c>
      <c r="M156" s="702"/>
      <c r="N156" s="695"/>
      <c r="O156" s="1990"/>
      <c r="P156" s="1990"/>
    </row>
    <row s="32343" customFormat="1" customHeight="1" ht="18.75" hidden="1">
      <c r="A157" s="2146"/>
      <c r="B157" s="2146"/>
      <c r="C157" s="730" t="s">
        <v>1118</v>
      </c>
      <c r="D157" s="2734"/>
      <c r="E157" s="2477"/>
      <c r="F157" s="2643"/>
      <c r="G157" s="2689"/>
      <c r="H157" s="1866"/>
      <c r="I157" s="1012" t="s">
        <v>1117</v>
      </c>
      <c r="J157" s="932"/>
      <c r="K157" s="1866"/>
      <c r="L157" s="575"/>
      <c r="M157" s="702"/>
      <c r="N157" s="695"/>
      <c r="O157" s="1990"/>
      <c r="P157" s="1990"/>
    </row>
    <row s="32343" customFormat="1" customHeight="1" ht="0.75" hidden="1">
      <c r="A158" s="2146"/>
      <c r="B158" s="2146"/>
      <c r="C158" s="730" t="s">
        <v>1125</v>
      </c>
      <c r="D158" s="2734"/>
      <c r="E158" s="2477"/>
      <c r="F158" s="2643"/>
      <c r="G158" s="761"/>
      <c r="H158" s="1866"/>
      <c r="I158" s="1012"/>
      <c r="J158" s="932"/>
      <c r="K158" s="1866"/>
      <c r="L158" s="575"/>
      <c r="M158" s="702"/>
      <c r="N158" s="695"/>
      <c r="O158" s="1990"/>
      <c r="P158" s="1990"/>
    </row>
    <row s="32343" customFormat="1" customHeight="1" ht="45" hidden="1">
      <c r="A159" s="2146" t="s">
        <v>179</v>
      </c>
      <c r="B159" s="2146" t="s">
        <v>180</v>
      </c>
      <c r="C159" s="730"/>
      <c r="D159" s="2734"/>
      <c r="E159" s="2477"/>
      <c r="F159" s="2643"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689" t="str">
        <f>INDEX(PT_DIFFERENTIATION_NTAR,MATCH(B159,PT_DIFFERENTIATION_NTAR_ID,0))</f>
        <v/>
      </c>
      <c r="H159" s="2229"/>
      <c r="I159" s="2105"/>
      <c r="J159" s="2139"/>
      <c r="K159" s="2144"/>
      <c r="L159" s="2229" t="s">
        <v>347</v>
      </c>
      <c r="M159" s="702"/>
      <c r="N159" s="695"/>
      <c r="O159" s="1990"/>
      <c r="P159" s="1990"/>
    </row>
    <row s="32343" customFormat="1" customHeight="1" ht="18.75" hidden="1">
      <c r="A160" s="2146"/>
      <c r="B160" s="2146"/>
      <c r="C160" s="730" t="s">
        <v>1118</v>
      </c>
      <c r="D160" s="2734"/>
      <c r="E160" s="2477"/>
      <c r="F160" s="2643"/>
      <c r="G160" s="2689"/>
      <c r="H160" s="1866"/>
      <c r="I160" s="1012" t="s">
        <v>1117</v>
      </c>
      <c r="J160" s="932"/>
      <c r="K160" s="1866"/>
      <c r="L160" s="575"/>
      <c r="M160" s="702"/>
      <c r="N160" s="695"/>
      <c r="O160" s="1990"/>
      <c r="P160" s="1990"/>
    </row>
    <row s="32343" customFormat="1" customHeight="1" ht="0.75" hidden="1">
      <c r="A161" s="2146"/>
      <c r="B161" s="2146"/>
      <c r="C161" s="730" t="s">
        <v>1125</v>
      </c>
      <c r="D161" s="2734"/>
      <c r="E161" s="2477"/>
      <c r="F161" s="2643"/>
      <c r="G161" s="761"/>
      <c r="H161" s="1866"/>
      <c r="I161" s="1012"/>
      <c r="J161" s="932"/>
      <c r="K161" s="1866"/>
      <c r="L161" s="575"/>
      <c r="M161" s="702"/>
      <c r="N161" s="695"/>
      <c r="O161" s="1990"/>
      <c r="P161" s="1990"/>
    </row>
    <row s="32343" customFormat="1" customHeight="1" ht="18.75" hidden="1">
      <c r="A162" s="2146" t="s">
        <v>185</v>
      </c>
      <c r="B162" s="2146" t="s">
        <v>186</v>
      </c>
      <c r="C162" s="730"/>
      <c r="D162" s="2734"/>
      <c r="E162" s="2477"/>
      <c r="F162" s="2643" t="str">
        <f>INDEX(PT_DIFFERENTIATION_VTAR,MATCH(A162,PT_DIFFERENTIATION_VTAR_ID,0))</f>
        <v>Тарифы на услуги по передаче тепловой энергии</v>
      </c>
      <c r="G162" s="2689" t="str">
        <f>INDEX(PT_DIFFERENTIATION_NTAR,MATCH(B162,PT_DIFFERENTIATION_NTAR_ID,0))</f>
        <v/>
      </c>
      <c r="H162" s="2229"/>
      <c r="I162" s="2105"/>
      <c r="J162" s="2139"/>
      <c r="K162" s="2144"/>
      <c r="L162" s="2229" t="s">
        <v>347</v>
      </c>
      <c r="M162" s="702"/>
      <c r="N162" s="695"/>
      <c r="O162" s="1990"/>
      <c r="P162" s="1990"/>
    </row>
    <row s="32343" customFormat="1" customHeight="1" ht="18.75" hidden="1">
      <c r="A163" s="2146"/>
      <c r="B163" s="2146"/>
      <c r="C163" s="730" t="s">
        <v>1118</v>
      </c>
      <c r="D163" s="2734"/>
      <c r="E163" s="2477"/>
      <c r="F163" s="2643"/>
      <c r="G163" s="2689"/>
      <c r="H163" s="1866"/>
      <c r="I163" s="1012" t="s">
        <v>1117</v>
      </c>
      <c r="J163" s="932"/>
      <c r="K163" s="1866"/>
      <c r="L163" s="575"/>
      <c r="M163" s="702"/>
      <c r="N163" s="695"/>
      <c r="O163" s="1990"/>
      <c r="P163" s="1990"/>
    </row>
    <row s="32343" customFormat="1" customHeight="1" ht="0.75" hidden="1">
      <c r="A164" s="2146"/>
      <c r="B164" s="2146"/>
      <c r="C164" s="730" t="s">
        <v>1125</v>
      </c>
      <c r="D164" s="2734"/>
      <c r="E164" s="2477"/>
      <c r="F164" s="2643"/>
      <c r="G164" s="761"/>
      <c r="H164" s="1866"/>
      <c r="I164" s="1012"/>
      <c r="J164" s="932"/>
      <c r="K164" s="1866"/>
      <c r="L164" s="575"/>
      <c r="M164" s="702"/>
      <c r="N164" s="695"/>
      <c r="O164" s="1990"/>
      <c r="P164" s="1990"/>
    </row>
    <row s="32343" customFormat="1" customHeight="1" ht="18.75" hidden="1">
      <c r="A165" s="2146" t="s">
        <v>191</v>
      </c>
      <c r="B165" s="2146" t="s">
        <v>192</v>
      </c>
      <c r="C165" s="730"/>
      <c r="D165" s="2734"/>
      <c r="E165" s="2477"/>
      <c r="F165" s="2643" t="str">
        <f>INDEX(PT_DIFFERENTIATION_VTAR,MATCH(A165,PT_DIFFERENTIATION_VTAR_ID,0))</f>
        <v>Тарифы на услуги по передаче теплоносителя</v>
      </c>
      <c r="G165" s="2689" t="str">
        <f>INDEX(PT_DIFFERENTIATION_NTAR,MATCH(B165,PT_DIFFERENTIATION_NTAR_ID,0))</f>
        <v/>
      </c>
      <c r="H165" s="2229"/>
      <c r="I165" s="2105"/>
      <c r="J165" s="2139"/>
      <c r="K165" s="2144"/>
      <c r="L165" s="2229" t="s">
        <v>347</v>
      </c>
      <c r="M165" s="702"/>
      <c r="N165" s="695"/>
      <c r="O165" s="1990"/>
      <c r="P165" s="1990"/>
    </row>
    <row s="32343" customFormat="1" customHeight="1" ht="18.75" hidden="1">
      <c r="A166" s="2146"/>
      <c r="B166" s="2146"/>
      <c r="C166" s="730" t="s">
        <v>1118</v>
      </c>
      <c r="D166" s="2734"/>
      <c r="E166" s="2477"/>
      <c r="F166" s="2643"/>
      <c r="G166" s="2689"/>
      <c r="H166" s="1866"/>
      <c r="I166" s="1012" t="s">
        <v>1117</v>
      </c>
      <c r="J166" s="932"/>
      <c r="K166" s="1866"/>
      <c r="L166" s="575"/>
      <c r="M166" s="702"/>
      <c r="N166" s="695"/>
      <c r="O166" s="1990"/>
      <c r="P166" s="1990"/>
    </row>
    <row s="32343" customFormat="1" customHeight="1" ht="0.75" hidden="1">
      <c r="A167" s="2146"/>
      <c r="B167" s="2146"/>
      <c r="C167" s="730" t="s">
        <v>1125</v>
      </c>
      <c r="D167" s="2734"/>
      <c r="E167" s="2477"/>
      <c r="F167" s="2643"/>
      <c r="G167" s="761"/>
      <c r="H167" s="1866"/>
      <c r="I167" s="1012"/>
      <c r="J167" s="932"/>
      <c r="K167" s="1866"/>
      <c r="L167" s="575"/>
      <c r="M167" s="702"/>
      <c r="N167" s="695"/>
      <c r="O167" s="1990"/>
      <c r="P167" s="1990"/>
    </row>
    <row s="32343" customFormat="1" customHeight="1" ht="18.75" hidden="1">
      <c r="A168" s="2146" t="s">
        <v>197</v>
      </c>
      <c r="B168" s="2146" t="s">
        <v>198</v>
      </c>
      <c r="C168" s="730"/>
      <c r="D168" s="2734"/>
      <c r="E168" s="2477"/>
      <c r="F168" s="2643"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689" t="str">
        <f>INDEX(PT_DIFFERENTIATION_NTAR,MATCH(B168,PT_DIFFERENTIATION_NTAR_ID,0))</f>
        <v/>
      </c>
      <c r="H168" s="2229"/>
      <c r="I168" s="2105"/>
      <c r="J168" s="2139"/>
      <c r="K168" s="2144"/>
      <c r="L168" s="2229" t="s">
        <v>347</v>
      </c>
      <c r="M168" s="702"/>
      <c r="N168" s="695"/>
      <c r="O168" s="1990"/>
      <c r="P168" s="1990"/>
    </row>
    <row s="32343" customFormat="1" customHeight="1" ht="18.75" hidden="1">
      <c r="A169" s="2146"/>
      <c r="B169" s="2146"/>
      <c r="C169" s="730" t="s">
        <v>1118</v>
      </c>
      <c r="D169" s="2734"/>
      <c r="E169" s="2477"/>
      <c r="F169" s="2643"/>
      <c r="G169" s="2689"/>
      <c r="H169" s="1866"/>
      <c r="I169" s="1012" t="s">
        <v>1117</v>
      </c>
      <c r="J169" s="932"/>
      <c r="K169" s="1866"/>
      <c r="L169" s="575"/>
      <c r="M169" s="702"/>
      <c r="N169" s="695"/>
      <c r="O169" s="1990"/>
      <c r="P169" s="1990"/>
    </row>
    <row s="32343" customFormat="1" customHeight="1" ht="0.75" hidden="1">
      <c r="A170" s="2146"/>
      <c r="B170" s="2146"/>
      <c r="C170" s="730" t="s">
        <v>1125</v>
      </c>
      <c r="D170" s="2734"/>
      <c r="E170" s="2477"/>
      <c r="F170" s="2643"/>
      <c r="G170" s="761"/>
      <c r="H170" s="1866"/>
      <c r="I170" s="1012"/>
      <c r="J170" s="932"/>
      <c r="K170" s="1866"/>
      <c r="L170" s="575"/>
      <c r="M170" s="702"/>
      <c r="N170" s="695"/>
      <c r="O170" s="1990"/>
      <c r="P170" s="1990"/>
    </row>
    <row s="32343" customFormat="1" customHeight="1" ht="18.75" hidden="1">
      <c r="A171" s="2146" t="s">
        <v>203</v>
      </c>
      <c r="B171" s="2146" t="s">
        <v>204</v>
      </c>
      <c r="C171" s="730"/>
      <c r="D171" s="2734"/>
      <c r="E171" s="2477"/>
      <c r="F171" s="2643" t="str">
        <f>INDEX(PT_DIFFERENTIATION_VTAR,MATCH(A171,PT_DIFFERENTIATION_VTAR_ID,0))</f>
        <v>Плата за подключение (технологическое присоединение) к системе теплоснабжения</v>
      </c>
      <c r="G171" s="2689" t="str">
        <f>INDEX(PT_DIFFERENTIATION_NTAR,MATCH(B171,PT_DIFFERENTIATION_NTAR_ID,0))</f>
        <v/>
      </c>
      <c r="H171" s="2229"/>
      <c r="I171" s="2105"/>
      <c r="J171" s="2139"/>
      <c r="K171" s="2144"/>
      <c r="L171" s="2229" t="s">
        <v>347</v>
      </c>
      <c r="M171" s="702"/>
      <c r="N171" s="695"/>
      <c r="O171" s="1990"/>
      <c r="P171" s="1990"/>
    </row>
    <row s="32343" customFormat="1" customHeight="1" ht="18.75" hidden="1">
      <c r="A172" s="2146"/>
      <c r="B172" s="2146"/>
      <c r="C172" s="730" t="s">
        <v>1118</v>
      </c>
      <c r="D172" s="2734"/>
      <c r="E172" s="2477"/>
      <c r="F172" s="2643"/>
      <c r="G172" s="2689"/>
      <c r="H172" s="1866"/>
      <c r="I172" s="1012" t="s">
        <v>1117</v>
      </c>
      <c r="J172" s="932"/>
      <c r="K172" s="1866"/>
      <c r="L172" s="575"/>
      <c r="M172" s="702"/>
      <c r="N172" s="695"/>
      <c r="O172" s="1990"/>
      <c r="P172" s="1990"/>
    </row>
    <row s="32343" customFormat="1" customHeight="1" ht="0.75" hidden="1">
      <c r="A173" s="2146"/>
      <c r="B173" s="2146"/>
      <c r="C173" s="730" t="s">
        <v>1125</v>
      </c>
      <c r="D173" s="2734"/>
      <c r="E173" s="2477"/>
      <c r="F173" s="2643"/>
      <c r="G173" s="761"/>
      <c r="H173" s="1866"/>
      <c r="I173" s="1012"/>
      <c r="J173" s="932"/>
      <c r="K173" s="1866"/>
      <c r="L173" s="575"/>
      <c r="M173" s="702"/>
      <c r="N173" s="695"/>
      <c r="O173" s="1990"/>
      <c r="P173" s="1990"/>
    </row>
    <row s="32343" customFormat="1" customHeight="1" ht="18.75" hidden="1">
      <c r="A174" s="2146" t="s">
        <v>229</v>
      </c>
      <c r="B174" s="2146" t="s">
        <v>230</v>
      </c>
      <c r="C174" s="730"/>
      <c r="D174" s="2734"/>
      <c r="E174" s="2477"/>
      <c r="F174" s="2643" t="str">
        <f>INDEX(PT_DIFFERENTIATION_VTAR,MATCH(A174,PT_DIFFERENTIATION_VTAR_ID,0))</f>
        <v>Тариф на питьевую воду (питьевое водоснабжение)</v>
      </c>
      <c r="G174" s="2689" t="str">
        <f>INDEX(PT_DIFFERENTIATION_NTAR,MATCH(B174,PT_DIFFERENTIATION_NTAR_ID,0))</f>
        <v/>
      </c>
      <c r="H174" s="2229"/>
      <c r="I174" s="2105"/>
      <c r="J174" s="2139"/>
      <c r="K174" s="2144"/>
      <c r="L174" s="2229" t="s">
        <v>347</v>
      </c>
      <c r="M174" s="702"/>
      <c r="N174" s="695"/>
      <c r="O174" s="1990"/>
      <c r="P174" s="1990"/>
    </row>
    <row s="32343" customFormat="1" customHeight="1" ht="18.75" hidden="1">
      <c r="A175" s="2146"/>
      <c r="B175" s="2146"/>
      <c r="C175" s="730" t="s">
        <v>1118</v>
      </c>
      <c r="D175" s="2734"/>
      <c r="E175" s="2477"/>
      <c r="F175" s="2643"/>
      <c r="G175" s="2689"/>
      <c r="H175" s="1866"/>
      <c r="I175" s="1012" t="s">
        <v>1117</v>
      </c>
      <c r="J175" s="932"/>
      <c r="K175" s="1866"/>
      <c r="L175" s="575"/>
      <c r="M175" s="702"/>
      <c r="N175" s="695"/>
      <c r="O175" s="1990"/>
      <c r="P175" s="1990"/>
    </row>
    <row s="32343" customFormat="1" customHeight="1" ht="0.75" hidden="1">
      <c r="A176" s="2146"/>
      <c r="B176" s="2146"/>
      <c r="C176" s="730" t="s">
        <v>1125</v>
      </c>
      <c r="D176" s="2734"/>
      <c r="E176" s="2477"/>
      <c r="F176" s="2643"/>
      <c r="G176" s="761"/>
      <c r="H176" s="1866"/>
      <c r="I176" s="1012"/>
      <c r="J176" s="932"/>
      <c r="K176" s="1866"/>
      <c r="L176" s="575"/>
      <c r="M176" s="702"/>
      <c r="N176" s="695"/>
      <c r="O176" s="1990"/>
      <c r="P176" s="1990"/>
    </row>
    <row s="32343" customFormat="1" customHeight="1" ht="18.75" hidden="1">
      <c r="A177" s="2146" t="s">
        <v>234</v>
      </c>
      <c r="B177" s="2146" t="s">
        <v>235</v>
      </c>
      <c r="C177" s="730"/>
      <c r="D177" s="2734"/>
      <c r="E177" s="2477"/>
      <c r="F177" s="2643" t="str">
        <f>INDEX(PT_DIFFERENTIATION_VTAR,MATCH(A177,PT_DIFFERENTIATION_VTAR_ID,0))</f>
        <v>Тариф на техническую воду</v>
      </c>
      <c r="G177" s="2689" t="str">
        <f>INDEX(PT_DIFFERENTIATION_NTAR,MATCH(B177,PT_DIFFERENTIATION_NTAR_ID,0))</f>
        <v/>
      </c>
      <c r="H177" s="2229"/>
      <c r="I177" s="2105"/>
      <c r="J177" s="2139"/>
      <c r="K177" s="2144"/>
      <c r="L177" s="2229" t="s">
        <v>347</v>
      </c>
      <c r="M177" s="702"/>
      <c r="N177" s="695"/>
      <c r="O177" s="1990"/>
      <c r="P177" s="1990"/>
    </row>
    <row s="32343" customFormat="1" customHeight="1" ht="18.75" hidden="1">
      <c r="A178" s="2146"/>
      <c r="B178" s="2146"/>
      <c r="C178" s="730" t="s">
        <v>1118</v>
      </c>
      <c r="D178" s="2734"/>
      <c r="E178" s="2477"/>
      <c r="F178" s="2643"/>
      <c r="G178" s="2689"/>
      <c r="H178" s="1866"/>
      <c r="I178" s="1012" t="s">
        <v>1117</v>
      </c>
      <c r="J178" s="932"/>
      <c r="K178" s="1866"/>
      <c r="L178" s="575"/>
      <c r="M178" s="702"/>
      <c r="N178" s="695"/>
      <c r="O178" s="1990"/>
      <c r="P178" s="1990"/>
    </row>
    <row s="32343" customFormat="1" customHeight="1" ht="0.75" hidden="1">
      <c r="A179" s="2146"/>
      <c r="B179" s="2146"/>
      <c r="C179" s="730" t="s">
        <v>1125</v>
      </c>
      <c r="D179" s="2734"/>
      <c r="E179" s="2477"/>
      <c r="F179" s="2643"/>
      <c r="G179" s="761"/>
      <c r="H179" s="1866"/>
      <c r="I179" s="1012"/>
      <c r="J179" s="932"/>
      <c r="K179" s="1866"/>
      <c r="L179" s="575"/>
      <c r="M179" s="702"/>
      <c r="N179" s="695"/>
      <c r="O179" s="1990"/>
      <c r="P179" s="1990"/>
    </row>
    <row s="32343" customFormat="1" customHeight="1" ht="18.75" hidden="1">
      <c r="A180" s="2146" t="s">
        <v>239</v>
      </c>
      <c r="B180" s="2146" t="s">
        <v>240</v>
      </c>
      <c r="C180" s="730"/>
      <c r="D180" s="2734"/>
      <c r="E180" s="2477"/>
      <c r="F180" s="2643" t="str">
        <f>INDEX(PT_DIFFERENTIATION_VTAR,MATCH(A180,PT_DIFFERENTIATION_VTAR_ID,0))</f>
        <v>Тариф на транспортировку воды</v>
      </c>
      <c r="G180" s="2689" t="str">
        <f>INDEX(PT_DIFFERENTIATION_NTAR,MATCH(B180,PT_DIFFERENTIATION_NTAR_ID,0))</f>
        <v/>
      </c>
      <c r="H180" s="2229"/>
      <c r="I180" s="2105"/>
      <c r="J180" s="2139"/>
      <c r="K180" s="2144"/>
      <c r="L180" s="2229" t="s">
        <v>347</v>
      </c>
      <c r="M180" s="702"/>
      <c r="N180" s="695"/>
      <c r="O180" s="1990"/>
      <c r="P180" s="1990"/>
    </row>
    <row s="32343" customFormat="1" customHeight="1" ht="18.75" hidden="1">
      <c r="A181" s="2146"/>
      <c r="B181" s="2146"/>
      <c r="C181" s="730" t="s">
        <v>1118</v>
      </c>
      <c r="D181" s="2734"/>
      <c r="E181" s="2477"/>
      <c r="F181" s="2643"/>
      <c r="G181" s="2689"/>
      <c r="H181" s="1866"/>
      <c r="I181" s="1012" t="s">
        <v>1117</v>
      </c>
      <c r="J181" s="932"/>
      <c r="K181" s="1866"/>
      <c r="L181" s="575"/>
      <c r="M181" s="702"/>
      <c r="N181" s="695"/>
      <c r="O181" s="1990"/>
      <c r="P181" s="1990"/>
    </row>
    <row s="32343" customFormat="1" customHeight="1" ht="0.75" hidden="1">
      <c r="A182" s="2146"/>
      <c r="B182" s="2146"/>
      <c r="C182" s="730" t="s">
        <v>1125</v>
      </c>
      <c r="D182" s="2734"/>
      <c r="E182" s="2477"/>
      <c r="F182" s="2643"/>
      <c r="G182" s="761"/>
      <c r="H182" s="1866"/>
      <c r="I182" s="1012"/>
      <c r="J182" s="932"/>
      <c r="K182" s="1866"/>
      <c r="L182" s="575"/>
      <c r="M182" s="702"/>
      <c r="N182" s="695"/>
      <c r="O182" s="1990"/>
      <c r="P182" s="1990"/>
    </row>
    <row s="32343" customFormat="1" customHeight="1" ht="18.75" hidden="1">
      <c r="A183" s="2146" t="s">
        <v>244</v>
      </c>
      <c r="B183" s="2146" t="s">
        <v>245</v>
      </c>
      <c r="C183" s="730"/>
      <c r="D183" s="2734"/>
      <c r="E183" s="2477"/>
      <c r="F183" s="2643" t="str">
        <f>INDEX(PT_DIFFERENTIATION_VTAR,MATCH(A183,PT_DIFFERENTIATION_VTAR_ID,0))</f>
        <v>Тариф на подвоз воды</v>
      </c>
      <c r="G183" s="2689" t="str">
        <f>INDEX(PT_DIFFERENTIATION_NTAR,MATCH(B183,PT_DIFFERENTIATION_NTAR_ID,0))</f>
        <v/>
      </c>
      <c r="H183" s="2229"/>
      <c r="I183" s="2105"/>
      <c r="J183" s="2139"/>
      <c r="K183" s="2144"/>
      <c r="L183" s="2229" t="s">
        <v>347</v>
      </c>
      <c r="M183" s="702"/>
      <c r="N183" s="695"/>
      <c r="O183" s="1990"/>
      <c r="P183" s="1990"/>
    </row>
    <row s="32343" customFormat="1" customHeight="1" ht="18.75" hidden="1">
      <c r="A184" s="2146"/>
      <c r="B184" s="2146"/>
      <c r="C184" s="730" t="s">
        <v>1118</v>
      </c>
      <c r="D184" s="2734"/>
      <c r="E184" s="2477"/>
      <c r="F184" s="2643"/>
      <c r="G184" s="2689"/>
      <c r="H184" s="1866"/>
      <c r="I184" s="1012" t="s">
        <v>1117</v>
      </c>
      <c r="J184" s="932"/>
      <c r="K184" s="1866"/>
      <c r="L184" s="575"/>
      <c r="M184" s="702"/>
      <c r="N184" s="695"/>
      <c r="O184" s="1990"/>
      <c r="P184" s="1990"/>
    </row>
    <row s="32343" customFormat="1" customHeight="1" ht="0.75" hidden="1">
      <c r="A185" s="2146"/>
      <c r="B185" s="2146"/>
      <c r="C185" s="730" t="s">
        <v>1125</v>
      </c>
      <c r="D185" s="2734"/>
      <c r="E185" s="2477"/>
      <c r="F185" s="2643"/>
      <c r="G185" s="761"/>
      <c r="H185" s="1866"/>
      <c r="I185" s="1012"/>
      <c r="J185" s="932"/>
      <c r="K185" s="1866"/>
      <c r="L185" s="575"/>
      <c r="M185" s="702"/>
      <c r="N185" s="695"/>
      <c r="O185" s="1990"/>
      <c r="P185" s="1990"/>
    </row>
    <row s="32343" customFormat="1" customHeight="1" ht="18.75" hidden="1">
      <c r="A186" s="2146" t="s">
        <v>249</v>
      </c>
      <c r="B186" s="2146" t="s">
        <v>250</v>
      </c>
      <c r="C186" s="730"/>
      <c r="D186" s="2734"/>
      <c r="E186" s="2477"/>
      <c r="F186" s="2643" t="str">
        <f>INDEX(PT_DIFFERENTIATION_VTAR,MATCH(A186,PT_DIFFERENTIATION_VTAR_ID,0))</f>
        <v>Тариф на подключение (технологическое присоединение) к централизованной системе холодного водоснабжения</v>
      </c>
      <c r="G186" s="2689" t="str">
        <f>INDEX(PT_DIFFERENTIATION_NTAR,MATCH(B186,PT_DIFFERENTIATION_NTAR_ID,0))</f>
        <v/>
      </c>
      <c r="H186" s="2229"/>
      <c r="I186" s="2105"/>
      <c r="J186" s="2139"/>
      <c r="K186" s="2144"/>
      <c r="L186" s="2229" t="s">
        <v>347</v>
      </c>
      <c r="M186" s="702"/>
      <c r="N186" s="695"/>
      <c r="O186" s="1990"/>
      <c r="P186" s="1990"/>
    </row>
    <row s="32343" customFormat="1" customHeight="1" ht="18.75" hidden="1">
      <c r="A187" s="2146"/>
      <c r="B187" s="2146"/>
      <c r="C187" s="730" t="s">
        <v>1118</v>
      </c>
      <c r="D187" s="2734"/>
      <c r="E187" s="2477"/>
      <c r="F187" s="2643"/>
      <c r="G187" s="2689"/>
      <c r="H187" s="1866"/>
      <c r="I187" s="1012" t="s">
        <v>1117</v>
      </c>
      <c r="J187" s="932"/>
      <c r="K187" s="1866"/>
      <c r="L187" s="575"/>
      <c r="M187" s="702"/>
      <c r="N187" s="695"/>
      <c r="O187" s="1990"/>
      <c r="P187" s="1990"/>
    </row>
    <row s="32343" customFormat="1" customHeight="1" ht="0.75" hidden="1">
      <c r="A188" s="2146"/>
      <c r="B188" s="2146"/>
      <c r="C188" s="730" t="s">
        <v>1125</v>
      </c>
      <c r="D188" s="2734"/>
      <c r="E188" s="2477"/>
      <c r="F188" s="2643"/>
      <c r="G188" s="761"/>
      <c r="H188" s="1866"/>
      <c r="I188" s="1012"/>
      <c r="J188" s="932"/>
      <c r="K188" s="1866"/>
      <c r="L188" s="575"/>
      <c r="M188" s="702"/>
      <c r="N188" s="695"/>
      <c r="O188" s="1990"/>
      <c r="P188" s="1990"/>
    </row>
    <row s="32343" customFormat="1" customHeight="1" ht="18.75" hidden="1">
      <c r="A189" s="2146" t="s">
        <v>258</v>
      </c>
      <c r="B189" s="2146" t="s">
        <v>259</v>
      </c>
      <c r="C189" s="730"/>
      <c r="D189" s="2734"/>
      <c r="E189" s="2477"/>
      <c r="F189" s="2643" t="str">
        <f>INDEX(PT_DIFFERENTIATION_VTAR,MATCH(A189,PT_DIFFERENTIATION_VTAR_ID,0))</f>
        <v>Тариф на горячую воду (горячее водоснабжение)</v>
      </c>
      <c r="G189" s="2689" t="str">
        <f>INDEX(PT_DIFFERENTIATION_NTAR,MATCH(B189,PT_DIFFERENTIATION_NTAR_ID,0))</f>
        <v>Тариф на горячую воду в закрытой системе горячего водоснабжения, поставляемую потребителям</v>
      </c>
      <c r="H189" s="2229"/>
      <c r="I189" s="2105"/>
      <c r="J189" s="2139"/>
      <c r="K189" s="2144"/>
      <c r="L189" s="2229" t="s">
        <v>347</v>
      </c>
      <c r="M189" s="702"/>
      <c r="N189" s="695"/>
      <c r="O189" s="1990"/>
      <c r="P189" s="1990"/>
    </row>
    <row s="32343" customFormat="1" customHeight="1" ht="18.75" hidden="1">
      <c r="A190" s="2146"/>
      <c r="B190" s="2146"/>
      <c r="C190" s="730" t="s">
        <v>1118</v>
      </c>
      <c r="D190" s="2734"/>
      <c r="E190" s="2477"/>
      <c r="F190" s="2643"/>
      <c r="G190" s="2689"/>
      <c r="H190" s="1866"/>
      <c r="I190" s="1012" t="s">
        <v>1117</v>
      </c>
      <c r="J190" s="932"/>
      <c r="K190" s="1866"/>
      <c r="L190" s="575"/>
      <c r="M190" s="702"/>
      <c r="N190" s="695"/>
      <c r="O190" s="1990"/>
      <c r="P190" s="1990"/>
    </row>
    <row s="37389" customFormat="1" customHeight="1" ht="18.75">
      <c r="A191" s="7451" t="s">
        <v>258</v>
      </c>
      <c r="B191" s="7451" t="s">
        <v>273</v>
      </c>
      <c r="C191" s="10694"/>
      <c r="D191" s="10695"/>
      <c r="E191" s="10696"/>
      <c r="F191" s="10696"/>
      <c r="G191" s="10697" t="str">
        <f>INDEX(PT_DIFFERENTIATION_NTAR,MATCH(B191,PT_DIFFERENTIATION_NTAR_ID,0))</f>
        <v>Тариф на горячую воду в закрытой системе горячего водоснабжения, поставляемую группе потребителей "население"</v>
      </c>
      <c r="H191" s="6911"/>
      <c r="I191" s="10698"/>
      <c r="J191" s="10699"/>
      <c r="K191" s="10716"/>
      <c r="L191" s="6911" t="s">
        <v>347</v>
      </c>
      <c r="M191" s="10701"/>
      <c r="N191" s="10702"/>
      <c r="O191" s="7194"/>
      <c r="P191" s="7194"/>
      <c r="Q191" s="6601"/>
      <c r="R191" s="6601"/>
      <c r="S191" s="6601"/>
      <c r="T191" s="6601"/>
      <c r="U191" s="6601"/>
      <c r="V191" s="6601"/>
      <c r="W191" s="6601"/>
      <c r="X191" s="6601"/>
      <c r="Y191" s="6601"/>
      <c r="Z191" s="6601"/>
      <c r="AA191" s="6601"/>
      <c r="AB191" s="6601"/>
      <c r="AC191" s="6601"/>
      <c r="AD191" s="6601"/>
      <c r="AE191" s="6601"/>
      <c r="AF191" s="6601"/>
      <c r="AG191" s="6601"/>
    </row>
    <row s="37389" customFormat="1" customHeight="1" ht="18.75">
      <c r="A192" s="7451"/>
      <c r="B192" s="7451"/>
      <c r="C192" s="10694" t="s">
        <v>1118</v>
      </c>
      <c r="D192" s="10695"/>
      <c r="E192" s="10696"/>
      <c r="F192" s="10696"/>
      <c r="G192" s="10697"/>
      <c r="H192" s="10727"/>
      <c r="I192" s="10728" t="s">
        <v>1117</v>
      </c>
      <c r="J192" s="10729"/>
      <c r="K192" s="10730"/>
      <c r="L192" s="10731"/>
      <c r="M192" s="10701"/>
      <c r="N192" s="10702"/>
      <c r="O192" s="7194"/>
      <c r="P192" s="7194"/>
      <c r="Q192" s="6601"/>
      <c r="R192" s="6601"/>
      <c r="S192" s="6601"/>
      <c r="T192" s="6601"/>
      <c r="U192" s="6601"/>
      <c r="V192" s="6601"/>
      <c r="W192" s="6601"/>
      <c r="X192" s="6601"/>
      <c r="Y192" s="6601"/>
      <c r="Z192" s="6601"/>
      <c r="AA192" s="6601"/>
      <c r="AB192" s="6601"/>
      <c r="AC192" s="6601"/>
      <c r="AD192" s="6601"/>
      <c r="AE192" s="6601"/>
      <c r="AF192" s="6601"/>
      <c r="AG192" s="6601"/>
    </row>
    <row s="37389" customFormat="1" customHeight="1" ht="18.75">
      <c r="A193" s="7451" t="s">
        <v>258</v>
      </c>
      <c r="B193" s="7451" t="s">
        <v>284</v>
      </c>
      <c r="C193" s="10694"/>
      <c r="D193" s="10695"/>
      <c r="E193" s="10696"/>
      <c r="F193" s="10696"/>
      <c r="G193" s="10697" t="str">
        <f>INDEX(PT_DIFFERENTIATION_NTAR,MATCH(B193,PT_DIFFERENTIATION_NTAR_ID,0))</f>
        <v>Тариф на горячую воду в закрытой системе горячего водоснабжения, поставляемую группе потребителей "потребители (кроме населения)"</v>
      </c>
      <c r="H193" s="6911"/>
      <c r="I193" s="10698"/>
      <c r="J193" s="10699"/>
      <c r="K193" s="10716"/>
      <c r="L193" s="6911" t="s">
        <v>347</v>
      </c>
      <c r="M193" s="10701"/>
      <c r="N193" s="10702"/>
      <c r="O193" s="7194"/>
      <c r="P193" s="7194"/>
      <c r="Q193" s="6601"/>
      <c r="R193" s="6601"/>
      <c r="S193" s="6601"/>
      <c r="T193" s="6601"/>
      <c r="U193" s="6601"/>
      <c r="V193" s="6601"/>
      <c r="W193" s="6601"/>
      <c r="X193" s="6601"/>
      <c r="Y193" s="6601"/>
      <c r="Z193" s="6601"/>
      <c r="AA193" s="6601"/>
      <c r="AB193" s="6601"/>
      <c r="AC193" s="6601"/>
      <c r="AD193" s="6601"/>
      <c r="AE193" s="6601"/>
      <c r="AF193" s="6601"/>
      <c r="AG193" s="6601"/>
    </row>
    <row s="37389" customFormat="1" customHeight="1" ht="18.75">
      <c r="A194" s="7451"/>
      <c r="B194" s="7451"/>
      <c r="C194" s="10694" t="s">
        <v>1118</v>
      </c>
      <c r="D194" s="10695"/>
      <c r="E194" s="10696"/>
      <c r="F194" s="10696"/>
      <c r="G194" s="10697"/>
      <c r="H194" s="10732"/>
      <c r="I194" s="10733" t="s">
        <v>1117</v>
      </c>
      <c r="J194" s="10734"/>
      <c r="K194" s="10735"/>
      <c r="L194" s="10736"/>
      <c r="M194" s="10701"/>
      <c r="N194" s="10702"/>
      <c r="O194" s="7194"/>
      <c r="P194" s="7194"/>
      <c r="Q194" s="6601"/>
      <c r="R194" s="6601"/>
      <c r="S194" s="6601"/>
      <c r="T194" s="6601"/>
      <c r="U194" s="6601"/>
      <c r="V194" s="6601"/>
      <c r="W194" s="6601"/>
      <c r="X194" s="6601"/>
      <c r="Y194" s="6601"/>
      <c r="Z194" s="6601"/>
      <c r="AA194" s="6601"/>
      <c r="AB194" s="6601"/>
      <c r="AC194" s="6601"/>
      <c r="AD194" s="6601"/>
      <c r="AE194" s="6601"/>
      <c r="AF194" s="6601"/>
      <c r="AG194" s="6601"/>
    </row>
    <row s="32343" customFormat="1" customHeight="1" ht="0.75" hidden="1">
      <c r="A195" s="2146"/>
      <c r="B195" s="2146"/>
      <c r="C195" s="730" t="s">
        <v>1125</v>
      </c>
      <c r="D195" s="2734"/>
      <c r="E195" s="2477"/>
      <c r="F195" s="2643"/>
      <c r="G195" s="761"/>
      <c r="H195" s="1866"/>
      <c r="I195" s="1012"/>
      <c r="J195" s="932"/>
      <c r="K195" s="1866"/>
      <c r="L195" s="575"/>
      <c r="M195" s="702"/>
      <c r="N195" s="695"/>
      <c r="O195" s="1990"/>
      <c r="P195" s="1990"/>
    </row>
    <row s="32343" customFormat="1" customHeight="1" ht="18.75" hidden="1">
      <c r="A196" s="2146" t="s">
        <v>296</v>
      </c>
      <c r="B196" s="2146" t="s">
        <v>297</v>
      </c>
      <c r="C196" s="730"/>
      <c r="D196" s="2734"/>
      <c r="E196" s="2477"/>
      <c r="F196" s="2643" t="str">
        <f>INDEX(PT_DIFFERENTIATION_VTAR,MATCH(A196,PT_DIFFERENTIATION_VTAR_ID,0))</f>
        <v>Тариф на транспортировку горячей воды</v>
      </c>
      <c r="G196" s="2689" t="str">
        <f>INDEX(PT_DIFFERENTIATION_NTAR,MATCH(B196,PT_DIFFERENTIATION_NTAR_ID,0))</f>
        <v/>
      </c>
      <c r="H196" s="2229"/>
      <c r="I196" s="2105"/>
      <c r="J196" s="2139"/>
      <c r="K196" s="2144"/>
      <c r="L196" s="2229" t="s">
        <v>347</v>
      </c>
      <c r="M196" s="702"/>
      <c r="N196" s="695"/>
      <c r="O196" s="1990"/>
      <c r="P196" s="1990"/>
    </row>
    <row s="32343" customFormat="1" customHeight="1" ht="18.75" hidden="1">
      <c r="A197" s="2146"/>
      <c r="B197" s="2146"/>
      <c r="C197" s="730" t="s">
        <v>1118</v>
      </c>
      <c r="D197" s="2734"/>
      <c r="E197" s="2477"/>
      <c r="F197" s="2643"/>
      <c r="G197" s="2689"/>
      <c r="H197" s="1866"/>
      <c r="I197" s="1012" t="s">
        <v>1117</v>
      </c>
      <c r="J197" s="932"/>
      <c r="K197" s="1866"/>
      <c r="L197" s="575"/>
      <c r="M197" s="702"/>
      <c r="N197" s="695"/>
      <c r="O197" s="1990"/>
      <c r="P197" s="1990"/>
    </row>
    <row s="32343" customFormat="1" customHeight="1" ht="0.75" hidden="1">
      <c r="A198" s="2146"/>
      <c r="B198" s="2146"/>
      <c r="C198" s="730" t="s">
        <v>1125</v>
      </c>
      <c r="D198" s="2734"/>
      <c r="E198" s="2477"/>
      <c r="F198" s="2643"/>
      <c r="G198" s="761"/>
      <c r="H198" s="1866"/>
      <c r="I198" s="1012"/>
      <c r="J198" s="932"/>
      <c r="K198" s="1866"/>
      <c r="L198" s="575"/>
      <c r="M198" s="702"/>
      <c r="N198" s="695"/>
      <c r="O198" s="1990"/>
      <c r="P198" s="1990"/>
    </row>
    <row s="32343" customFormat="1" customHeight="1" ht="18.75" hidden="1">
      <c r="A199" s="2146" t="s">
        <v>301</v>
      </c>
      <c r="B199" s="2146" t="s">
        <v>302</v>
      </c>
      <c r="C199" s="730"/>
      <c r="D199" s="2734"/>
      <c r="E199" s="2477"/>
      <c r="F199" s="2643" t="str">
        <f>INDEX(PT_DIFFERENTIATION_VTAR,MATCH(A199,PT_DIFFERENTIATION_VTAR_ID,0))</f>
        <v>Тариф на подключение (технологическое присоединение) к централизованной системе горячего водоснабжения</v>
      </c>
      <c r="G199" s="2689" t="str">
        <f>INDEX(PT_DIFFERENTIATION_NTAR,MATCH(B199,PT_DIFFERENTIATION_NTAR_ID,0))</f>
        <v/>
      </c>
      <c r="H199" s="2229"/>
      <c r="I199" s="2105"/>
      <c r="J199" s="2139"/>
      <c r="K199" s="2144"/>
      <c r="L199" s="2229" t="s">
        <v>347</v>
      </c>
      <c r="M199" s="702"/>
      <c r="N199" s="695"/>
      <c r="O199" s="1990"/>
      <c r="P199" s="1990"/>
    </row>
    <row s="32343" customFormat="1" customHeight="1" ht="18.75" hidden="1">
      <c r="A200" s="2146"/>
      <c r="B200" s="2146"/>
      <c r="C200" s="730" t="s">
        <v>1118</v>
      </c>
      <c r="D200" s="2734"/>
      <c r="E200" s="2477"/>
      <c r="F200" s="2643"/>
      <c r="G200" s="2689"/>
      <c r="H200" s="1866"/>
      <c r="I200" s="1012" t="s">
        <v>1117</v>
      </c>
      <c r="J200" s="932"/>
      <c r="K200" s="1866"/>
      <c r="L200" s="575"/>
      <c r="M200" s="702"/>
      <c r="N200" s="695"/>
      <c r="O200" s="1990"/>
      <c r="P200" s="1990"/>
    </row>
    <row s="32343" customFormat="1" customHeight="1" ht="0.75" hidden="1">
      <c r="A201" s="2146"/>
      <c r="B201" s="2146"/>
      <c r="C201" s="730" t="s">
        <v>1125</v>
      </c>
      <c r="D201" s="2734"/>
      <c r="E201" s="2477"/>
      <c r="F201" s="2643"/>
      <c r="G201" s="761"/>
      <c r="H201" s="1866"/>
      <c r="I201" s="1012"/>
      <c r="J201" s="932"/>
      <c r="K201" s="1866"/>
      <c r="L201" s="575"/>
      <c r="M201" s="702"/>
      <c r="N201" s="695"/>
      <c r="O201" s="1990"/>
      <c r="P201" s="1990"/>
    </row>
    <row s="32343" customFormat="1" customHeight="1" ht="18.75" hidden="1">
      <c r="A202" s="2146" t="s">
        <v>306</v>
      </c>
      <c r="B202" s="2146" t="s">
        <v>307</v>
      </c>
      <c r="C202" s="730"/>
      <c r="D202" s="2734"/>
      <c r="E202" s="2477"/>
      <c r="F202" s="2643" t="str">
        <f>INDEX(PT_DIFFERENTIATION_VTAR,MATCH(A202,PT_DIFFERENTIATION_VTAR_ID,0))</f>
        <v>Тариф на водоотведение</v>
      </c>
      <c r="G202" s="2689" t="str">
        <f>INDEX(PT_DIFFERENTIATION_NTAR,MATCH(B202,PT_DIFFERENTIATION_NTAR_ID,0))</f>
        <v/>
      </c>
      <c r="H202" s="2229"/>
      <c r="I202" s="2105"/>
      <c r="J202" s="2139"/>
      <c r="K202" s="2144"/>
      <c r="L202" s="2229" t="s">
        <v>347</v>
      </c>
      <c r="M202" s="702"/>
      <c r="N202" s="695"/>
      <c r="O202" s="1990"/>
      <c r="P202" s="1990"/>
    </row>
    <row s="32343" customFormat="1" customHeight="1" ht="18.75" hidden="1">
      <c r="A203" s="2146"/>
      <c r="B203" s="2146"/>
      <c r="C203" s="730" t="s">
        <v>1118</v>
      </c>
      <c r="D203" s="2734"/>
      <c r="E203" s="2477"/>
      <c r="F203" s="2643"/>
      <c r="G203" s="2689"/>
      <c r="H203" s="1866"/>
      <c r="I203" s="1012" t="s">
        <v>1117</v>
      </c>
      <c r="J203" s="932"/>
      <c r="K203" s="1866"/>
      <c r="L203" s="575"/>
      <c r="M203" s="702"/>
      <c r="N203" s="695"/>
      <c r="O203" s="1990"/>
      <c r="P203" s="1990"/>
    </row>
    <row s="32343" customFormat="1" customHeight="1" ht="0.75" hidden="1">
      <c r="A204" s="2146"/>
      <c r="B204" s="2146"/>
      <c r="C204" s="730" t="s">
        <v>1125</v>
      </c>
      <c r="D204" s="2734"/>
      <c r="E204" s="2477"/>
      <c r="F204" s="2643"/>
      <c r="G204" s="761"/>
      <c r="H204" s="1866"/>
      <c r="I204" s="1012"/>
      <c r="J204" s="932"/>
      <c r="K204" s="1866"/>
      <c r="L204" s="575"/>
      <c r="M204" s="702"/>
      <c r="N204" s="695"/>
      <c r="O204" s="1990"/>
      <c r="P204" s="1990"/>
    </row>
    <row s="32343" customFormat="1" customHeight="1" ht="18.75" hidden="1">
      <c r="A205" s="2146" t="s">
        <v>311</v>
      </c>
      <c r="B205" s="2146" t="s">
        <v>312</v>
      </c>
      <c r="C205" s="730"/>
      <c r="D205" s="2734"/>
      <c r="E205" s="2477"/>
      <c r="F205" s="2643" t="str">
        <f>INDEX(PT_DIFFERENTIATION_VTAR,MATCH(A205,PT_DIFFERENTIATION_VTAR_ID,0))</f>
        <v>Тариф на транспортировку сточных вод</v>
      </c>
      <c r="G205" s="2689" t="str">
        <f>INDEX(PT_DIFFERENTIATION_NTAR,MATCH(B205,PT_DIFFERENTIATION_NTAR_ID,0))</f>
        <v/>
      </c>
      <c r="H205" s="2229"/>
      <c r="I205" s="2105"/>
      <c r="J205" s="2139"/>
      <c r="K205" s="2144"/>
      <c r="L205" s="2229" t="s">
        <v>347</v>
      </c>
      <c r="M205" s="702"/>
      <c r="N205" s="695"/>
      <c r="O205" s="1990"/>
      <c r="P205" s="1990"/>
    </row>
    <row s="32343" customFormat="1" customHeight="1" ht="18.75" hidden="1">
      <c r="A206" s="2146"/>
      <c r="B206" s="2146"/>
      <c r="C206" s="730" t="s">
        <v>1118</v>
      </c>
      <c r="D206" s="2734"/>
      <c r="E206" s="2477"/>
      <c r="F206" s="2643"/>
      <c r="G206" s="2689"/>
      <c r="H206" s="1866"/>
      <c r="I206" s="1012" t="s">
        <v>1117</v>
      </c>
      <c r="J206" s="932"/>
      <c r="K206" s="1866"/>
      <c r="L206" s="575"/>
      <c r="M206" s="702"/>
      <c r="N206" s="695"/>
      <c r="O206" s="1990"/>
      <c r="P206" s="1990"/>
    </row>
    <row s="32343" customFormat="1" customHeight="1" ht="0.75" hidden="1">
      <c r="A207" s="2146"/>
      <c r="B207" s="2146"/>
      <c r="C207" s="730" t="s">
        <v>1125</v>
      </c>
      <c r="D207" s="2734"/>
      <c r="E207" s="2477"/>
      <c r="F207" s="2643"/>
      <c r="G207" s="761"/>
      <c r="H207" s="1866"/>
      <c r="I207" s="1012"/>
      <c r="J207" s="932"/>
      <c r="K207" s="1866"/>
      <c r="L207" s="575"/>
      <c r="M207" s="702"/>
      <c r="N207" s="695"/>
      <c r="O207" s="1990"/>
      <c r="P207" s="1990"/>
    </row>
    <row s="32343" customFormat="1" customHeight="1" ht="18.75" hidden="1">
      <c r="A208" s="2146" t="s">
        <v>316</v>
      </c>
      <c r="B208" s="2146" t="s">
        <v>317</v>
      </c>
      <c r="C208" s="730"/>
      <c r="D208" s="2734"/>
      <c r="E208" s="2477"/>
      <c r="F208" s="2643" t="str">
        <f>INDEX(PT_DIFFERENTIATION_VTAR,MATCH(A208,PT_DIFFERENTIATION_VTAR_ID,0))</f>
        <v>Тариф на подключение (технологическое присоединение) к централизованной системе водоотведения</v>
      </c>
      <c r="G208" s="2689" t="str">
        <f>INDEX(PT_DIFFERENTIATION_NTAR,MATCH(B208,PT_DIFFERENTIATION_NTAR_ID,0))</f>
        <v/>
      </c>
      <c r="H208" s="2229"/>
      <c r="I208" s="2105"/>
      <c r="J208" s="2139"/>
      <c r="K208" s="2144"/>
      <c r="L208" s="2229" t="s">
        <v>347</v>
      </c>
      <c r="M208" s="702"/>
      <c r="N208" s="695"/>
      <c r="O208" s="1990"/>
      <c r="P208" s="1990"/>
    </row>
    <row s="32343" customFormat="1" customHeight="1" ht="18.75" hidden="1">
      <c r="A209" s="2146"/>
      <c r="B209" s="2146"/>
      <c r="C209" s="730" t="s">
        <v>1118</v>
      </c>
      <c r="D209" s="2734"/>
      <c r="E209" s="2477"/>
      <c r="F209" s="2643"/>
      <c r="G209" s="2689"/>
      <c r="H209" s="1866"/>
      <c r="I209" s="1012" t="s">
        <v>1117</v>
      </c>
      <c r="J209" s="932"/>
      <c r="K209" s="1866"/>
      <c r="L209" s="575"/>
      <c r="M209" s="702"/>
      <c r="N209" s="695"/>
      <c r="O209" s="1990"/>
      <c r="P209" s="1990"/>
    </row>
    <row s="32343" customFormat="1" customHeight="1" ht="0.75">
      <c r="A210" s="2146"/>
      <c r="B210" s="2146"/>
      <c r="C210" s="730" t="s">
        <v>1125</v>
      </c>
      <c r="D210" s="2734"/>
      <c r="E210" s="2477"/>
      <c r="F210" s="2643"/>
      <c r="G210" s="761"/>
      <c r="H210" s="1866"/>
      <c r="I210" s="1012"/>
      <c r="J210" s="932"/>
      <c r="K210" s="1866"/>
      <c r="L210" s="575"/>
      <c r="M210" s="702"/>
      <c r="N210" s="695"/>
      <c r="O210" s="1990"/>
      <c r="P210" s="1990"/>
    </row>
    <row customHeight="1" ht="26.25">
      <c r="A211" s="2146"/>
      <c r="B211" s="2146"/>
      <c r="D211" s="737"/>
      <c r="E211" s="509" t="s">
        <v>119</v>
      </c>
      <c r="F211" s="272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1" s="2726"/>
      <c r="H211" s="2726"/>
      <c r="I211" s="2726"/>
      <c r="J211" s="2726"/>
      <c r="K211" s="2726"/>
      <c r="L211" s="2726"/>
      <c r="M211" s="658"/>
      <c r="N211" s="695"/>
    </row>
    <row s="32343" customFormat="1" customHeight="1" ht="60.75" hidden="1">
      <c r="A212" s="2146" t="s">
        <v>161</v>
      </c>
      <c r="B212" s="2146" t="s">
        <v>162</v>
      </c>
      <c r="C212" s="730"/>
      <c r="D212" s="2734"/>
      <c r="E212" s="2477"/>
      <c r="F212" s="2643" t="str">
        <f>INDEX(PT_DIFFERENTIATION_VTAR,MATCH(A212,PT_DIFFERENTIATION_VTAR_ID,0))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2" s="2689" t="str">
        <f>INDEX(PT_DIFFERENTIATION_NTAR,MATCH(B212,PT_DIFFERENTIATION_NTAR_ID,0))</f>
        <v/>
      </c>
      <c r="H212" s="2229"/>
      <c r="I212" s="2105"/>
      <c r="J212" s="2139"/>
      <c r="K212" s="2144"/>
      <c r="L212" s="2229" t="s">
        <v>347</v>
      </c>
      <c r="M212" s="24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12" s="695"/>
      <c r="O212" s="1990"/>
      <c r="P212" s="1990"/>
    </row>
    <row s="32343" customFormat="1" customHeight="1" ht="18.75" hidden="1">
      <c r="A213" s="2146"/>
      <c r="B213" s="2146"/>
      <c r="C213" s="730" t="s">
        <v>1118</v>
      </c>
      <c r="D213" s="2734"/>
      <c r="E213" s="2477"/>
      <c r="F213" s="2643"/>
      <c r="G213" s="2689"/>
      <c r="H213" s="1866"/>
      <c r="I213" s="1012" t="s">
        <v>1117</v>
      </c>
      <c r="J213" s="932"/>
      <c r="K213" s="1866"/>
      <c r="L213" s="575"/>
      <c r="M213" s="2437"/>
      <c r="N213" s="695"/>
      <c r="O213" s="1990"/>
      <c r="P213" s="1990"/>
    </row>
    <row s="32343" customFormat="1" customHeight="1" ht="0.75" hidden="1">
      <c r="A214" s="2146"/>
      <c r="B214" s="2146"/>
      <c r="C214" s="730" t="s">
        <v>1125</v>
      </c>
      <c r="D214" s="2734"/>
      <c r="E214" s="2477"/>
      <c r="F214" s="2643"/>
      <c r="G214" s="761"/>
      <c r="H214" s="1866"/>
      <c r="I214" s="1012"/>
      <c r="J214" s="932"/>
      <c r="K214" s="1866"/>
      <c r="L214" s="575"/>
      <c r="M214" s="2437"/>
      <c r="N214" s="695"/>
      <c r="O214" s="1990"/>
      <c r="P214" s="1990"/>
    </row>
    <row s="32343" customFormat="1" customHeight="1" ht="45" hidden="1">
      <c r="A215" s="2146" t="s">
        <v>167</v>
      </c>
      <c r="B215" s="2146" t="s">
        <v>168</v>
      </c>
      <c r="C215" s="730"/>
      <c r="D215" s="2734"/>
      <c r="E215" s="2477"/>
      <c r="F215" s="2643" t="str">
        <f>INDEX(PT_DIFFERENTIATION_VTAR,MATCH(A215,PT_DIFFERENTIATION_VTAR_ID,0))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5" s="2689" t="str">
        <f>INDEX(PT_DIFFERENTIATION_NTAR,MATCH(B215,PT_DIFFERENTIATION_NTAR_ID,0))</f>
        <v/>
      </c>
      <c r="H215" s="2229"/>
      <c r="I215" s="2105"/>
      <c r="J215" s="2139"/>
      <c r="K215" s="2144"/>
      <c r="L215" s="2229" t="s">
        <v>347</v>
      </c>
      <c r="M215" s="2438"/>
      <c r="N215" s="695"/>
      <c r="O215" s="1990"/>
      <c r="P215" s="1990"/>
    </row>
    <row s="32343" customFormat="1" customHeight="1" ht="18.75" hidden="1">
      <c r="A216" s="2146"/>
      <c r="B216" s="2146"/>
      <c r="C216" s="730" t="s">
        <v>1118</v>
      </c>
      <c r="D216" s="2734"/>
      <c r="E216" s="2477"/>
      <c r="F216" s="2643"/>
      <c r="G216" s="2689"/>
      <c r="H216" s="1866"/>
      <c r="I216" s="1012" t="s">
        <v>1117</v>
      </c>
      <c r="J216" s="932"/>
      <c r="K216" s="1866"/>
      <c r="L216" s="575"/>
      <c r="M216" s="2228"/>
      <c r="N216" s="695"/>
      <c r="O216" s="1990"/>
      <c r="P216" s="1990"/>
    </row>
    <row s="32343" customFormat="1" customHeight="1" ht="0.75" hidden="1">
      <c r="A217" s="2146"/>
      <c r="B217" s="2146"/>
      <c r="C217" s="730" t="s">
        <v>1125</v>
      </c>
      <c r="D217" s="2734"/>
      <c r="E217" s="2477"/>
      <c r="F217" s="2643"/>
      <c r="G217" s="761"/>
      <c r="H217" s="1866"/>
      <c r="I217" s="1012"/>
      <c r="J217" s="932"/>
      <c r="K217" s="1866"/>
      <c r="L217" s="575"/>
      <c r="M217" s="702"/>
      <c r="N217" s="695"/>
      <c r="O217" s="1990"/>
      <c r="P217" s="1990"/>
    </row>
    <row s="32343" customFormat="1" customHeight="1" ht="45" hidden="1">
      <c r="A218" s="2146" t="s">
        <v>173</v>
      </c>
      <c r="B218" s="2146" t="s">
        <v>174</v>
      </c>
      <c r="C218" s="730"/>
      <c r="D218" s="2734"/>
      <c r="E218" s="2477"/>
      <c r="F218" s="2643" t="str">
        <f>INDEX(PT_DIFFERENTIATION_VTAR,MATCH(A218,PT_DIFFERENTIATION_VTAR_ID,0))</f>
        <v>Тарифы на теплоноситель, поставляемый теплоснабжающими организациями потребителям, другим теплоснабжающим организациям</v>
      </c>
      <c r="G218" s="2689" t="str">
        <f>INDEX(PT_DIFFERENTIATION_NTAR,MATCH(B218,PT_DIFFERENTIATION_NTAR_ID,0))</f>
        <v/>
      </c>
      <c r="H218" s="2229"/>
      <c r="I218" s="2105"/>
      <c r="J218" s="2139"/>
      <c r="K218" s="2144"/>
      <c r="L218" s="2229" t="s">
        <v>347</v>
      </c>
      <c r="M218" s="702"/>
      <c r="N218" s="695"/>
      <c r="O218" s="1990"/>
      <c r="P218" s="1990"/>
    </row>
    <row s="32343" customFormat="1" customHeight="1" ht="18.75" hidden="1">
      <c r="A219" s="2146"/>
      <c r="B219" s="2146"/>
      <c r="C219" s="730" t="s">
        <v>1118</v>
      </c>
      <c r="D219" s="2734"/>
      <c r="E219" s="2477"/>
      <c r="F219" s="2643"/>
      <c r="G219" s="2689"/>
      <c r="H219" s="1866"/>
      <c r="I219" s="1012" t="s">
        <v>1117</v>
      </c>
      <c r="J219" s="932"/>
      <c r="K219" s="1866"/>
      <c r="L219" s="575"/>
      <c r="M219" s="702"/>
      <c r="N219" s="695"/>
      <c r="O219" s="1990"/>
      <c r="P219" s="1990"/>
    </row>
    <row s="32343" customFormat="1" customHeight="1" ht="0.75" hidden="1">
      <c r="A220" s="2146"/>
      <c r="B220" s="2146"/>
      <c r="C220" s="730" t="s">
        <v>1125</v>
      </c>
      <c r="D220" s="2734"/>
      <c r="E220" s="2477"/>
      <c r="F220" s="2643"/>
      <c r="G220" s="761"/>
      <c r="H220" s="1866"/>
      <c r="I220" s="1012"/>
      <c r="J220" s="932"/>
      <c r="K220" s="1866"/>
      <c r="L220" s="575"/>
      <c r="M220" s="702"/>
      <c r="N220" s="695"/>
      <c r="O220" s="1990"/>
      <c r="P220" s="1990"/>
    </row>
    <row s="32343" customFormat="1" customHeight="1" ht="45" hidden="1">
      <c r="A221" s="2146" t="s">
        <v>179</v>
      </c>
      <c r="B221" s="2146" t="s">
        <v>180</v>
      </c>
      <c r="C221" s="730"/>
      <c r="D221" s="2734"/>
      <c r="E221" s="2477"/>
      <c r="F221" s="2643" t="str">
        <f>INDEX(PT_DIFFERENTIATION_VTAR,MATCH(A221,PT_DIFFERENTIATION_VTAR_ID,0))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1" s="2689" t="str">
        <f>INDEX(PT_DIFFERENTIATION_NTAR,MATCH(B221,PT_DIFFERENTIATION_NTAR_ID,0))</f>
        <v/>
      </c>
      <c r="H221" s="2229"/>
      <c r="I221" s="2105"/>
      <c r="J221" s="2139"/>
      <c r="K221" s="2144"/>
      <c r="L221" s="2229" t="s">
        <v>347</v>
      </c>
      <c r="M221" s="702"/>
      <c r="N221" s="695"/>
      <c r="O221" s="1990"/>
      <c r="P221" s="1990"/>
    </row>
    <row s="32343" customFormat="1" customHeight="1" ht="18.75" hidden="1">
      <c r="A222" s="2146"/>
      <c r="B222" s="2146"/>
      <c r="C222" s="730" t="s">
        <v>1118</v>
      </c>
      <c r="D222" s="2734"/>
      <c r="E222" s="2477"/>
      <c r="F222" s="2643"/>
      <c r="G222" s="2689"/>
      <c r="H222" s="1866"/>
      <c r="I222" s="1012" t="s">
        <v>1117</v>
      </c>
      <c r="J222" s="932"/>
      <c r="K222" s="1866"/>
      <c r="L222" s="575"/>
      <c r="M222" s="702"/>
      <c r="N222" s="695"/>
      <c r="O222" s="1990"/>
      <c r="P222" s="1990"/>
    </row>
    <row s="32343" customFormat="1" customHeight="1" ht="0.75" hidden="1">
      <c r="A223" s="2146"/>
      <c r="B223" s="2146"/>
      <c r="C223" s="730" t="s">
        <v>1125</v>
      </c>
      <c r="D223" s="2734"/>
      <c r="E223" s="2477"/>
      <c r="F223" s="2643"/>
      <c r="G223" s="761"/>
      <c r="H223" s="1866"/>
      <c r="I223" s="1012"/>
      <c r="J223" s="932"/>
      <c r="K223" s="1866"/>
      <c r="L223" s="575"/>
      <c r="M223" s="702"/>
      <c r="N223" s="695"/>
      <c r="O223" s="1990"/>
      <c r="P223" s="1990"/>
    </row>
    <row s="32343" customFormat="1" customHeight="1" ht="18.75" hidden="1">
      <c r="A224" s="2146" t="s">
        <v>185</v>
      </c>
      <c r="B224" s="2146" t="s">
        <v>186</v>
      </c>
      <c r="C224" s="730"/>
      <c r="D224" s="2734"/>
      <c r="E224" s="2477"/>
      <c r="F224" s="2643" t="str">
        <f>INDEX(PT_DIFFERENTIATION_VTAR,MATCH(A224,PT_DIFFERENTIATION_VTAR_ID,0))</f>
        <v>Тарифы на услуги по передаче тепловой энергии</v>
      </c>
      <c r="G224" s="2689" t="str">
        <f>INDEX(PT_DIFFERENTIATION_NTAR,MATCH(B224,PT_DIFFERENTIATION_NTAR_ID,0))</f>
        <v/>
      </c>
      <c r="H224" s="2229"/>
      <c r="I224" s="2105"/>
      <c r="J224" s="2139"/>
      <c r="K224" s="2144"/>
      <c r="L224" s="2229" t="s">
        <v>347</v>
      </c>
      <c r="M224" s="702"/>
      <c r="N224" s="695"/>
      <c r="O224" s="1990"/>
      <c r="P224" s="1990"/>
    </row>
    <row s="32343" customFormat="1" customHeight="1" ht="18.75" hidden="1">
      <c r="A225" s="2146"/>
      <c r="B225" s="2146"/>
      <c r="C225" s="730" t="s">
        <v>1118</v>
      </c>
      <c r="D225" s="2734"/>
      <c r="E225" s="2477"/>
      <c r="F225" s="2643"/>
      <c r="G225" s="2689"/>
      <c r="H225" s="1866"/>
      <c r="I225" s="1012" t="s">
        <v>1117</v>
      </c>
      <c r="J225" s="932"/>
      <c r="K225" s="1866"/>
      <c r="L225" s="575"/>
      <c r="M225" s="702"/>
      <c r="N225" s="695"/>
      <c r="O225" s="1990"/>
      <c r="P225" s="1990"/>
    </row>
    <row s="32343" customFormat="1" customHeight="1" ht="0.75" hidden="1">
      <c r="A226" s="2146"/>
      <c r="B226" s="2146"/>
      <c r="C226" s="730" t="s">
        <v>1125</v>
      </c>
      <c r="D226" s="2734"/>
      <c r="E226" s="2477"/>
      <c r="F226" s="2643"/>
      <c r="G226" s="761"/>
      <c r="H226" s="1866"/>
      <c r="I226" s="1012"/>
      <c r="J226" s="932"/>
      <c r="K226" s="1866"/>
      <c r="L226" s="575"/>
      <c r="M226" s="702"/>
      <c r="N226" s="695"/>
      <c r="O226" s="1990"/>
      <c r="P226" s="1990"/>
    </row>
    <row s="32343" customFormat="1" customHeight="1" ht="18.75" hidden="1">
      <c r="A227" s="2146" t="s">
        <v>191</v>
      </c>
      <c r="B227" s="2146" t="s">
        <v>192</v>
      </c>
      <c r="C227" s="730"/>
      <c r="D227" s="2734"/>
      <c r="E227" s="2477"/>
      <c r="F227" s="2643" t="str">
        <f>INDEX(PT_DIFFERENTIATION_VTAR,MATCH(A227,PT_DIFFERENTIATION_VTAR_ID,0))</f>
        <v>Тарифы на услуги по передаче теплоносителя</v>
      </c>
      <c r="G227" s="2689" t="str">
        <f>INDEX(PT_DIFFERENTIATION_NTAR,MATCH(B227,PT_DIFFERENTIATION_NTAR_ID,0))</f>
        <v/>
      </c>
      <c r="H227" s="2229"/>
      <c r="I227" s="2105"/>
      <c r="J227" s="2139"/>
      <c r="K227" s="2144"/>
      <c r="L227" s="2229" t="s">
        <v>347</v>
      </c>
      <c r="M227" s="702"/>
      <c r="N227" s="695"/>
      <c r="O227" s="1990"/>
      <c r="P227" s="1990"/>
    </row>
    <row s="32343" customFormat="1" customHeight="1" ht="18.75" hidden="1">
      <c r="A228" s="2146"/>
      <c r="B228" s="2146"/>
      <c r="C228" s="730" t="s">
        <v>1118</v>
      </c>
      <c r="D228" s="2734"/>
      <c r="E228" s="2477"/>
      <c r="F228" s="2643"/>
      <c r="G228" s="2689"/>
      <c r="H228" s="1866"/>
      <c r="I228" s="1012" t="s">
        <v>1117</v>
      </c>
      <c r="J228" s="932"/>
      <c r="K228" s="1866"/>
      <c r="L228" s="575"/>
      <c r="M228" s="702"/>
      <c r="N228" s="695"/>
      <c r="O228" s="1990"/>
      <c r="P228" s="1990"/>
    </row>
    <row s="32343" customFormat="1" customHeight="1" ht="0.75" hidden="1">
      <c r="A229" s="2146"/>
      <c r="B229" s="2146"/>
      <c r="C229" s="730" t="s">
        <v>1125</v>
      </c>
      <c r="D229" s="2734"/>
      <c r="E229" s="2477"/>
      <c r="F229" s="2643"/>
      <c r="G229" s="761"/>
      <c r="H229" s="1866"/>
      <c r="I229" s="1012"/>
      <c r="J229" s="932"/>
      <c r="K229" s="1866"/>
      <c r="L229" s="575"/>
      <c r="M229" s="702"/>
      <c r="N229" s="695"/>
      <c r="O229" s="1990"/>
      <c r="P229" s="1990"/>
    </row>
    <row s="32343" customFormat="1" customHeight="1" ht="18.75" hidden="1">
      <c r="A230" s="2146" t="s">
        <v>197</v>
      </c>
      <c r="B230" s="2146" t="s">
        <v>198</v>
      </c>
      <c r="C230" s="730"/>
      <c r="D230" s="2734"/>
      <c r="E230" s="2477"/>
      <c r="F230" s="2643" t="str">
        <f>INDEX(PT_DIFFERENTIATION_VTAR,MATCH(A230,PT_DIFFERENTIATION_VTAR_ID,0))</f>
        <v>Плата за услуги по поддержанию резервной тепловой мощности при отсутствии потребления тепловой энергии</v>
      </c>
      <c r="G230" s="2689" t="str">
        <f>INDEX(PT_DIFFERENTIATION_NTAR,MATCH(B230,PT_DIFFERENTIATION_NTAR_ID,0))</f>
        <v/>
      </c>
      <c r="H230" s="2229"/>
      <c r="I230" s="2105"/>
      <c r="J230" s="2139"/>
      <c r="K230" s="2144"/>
      <c r="L230" s="2229" t="s">
        <v>347</v>
      </c>
      <c r="M230" s="702"/>
      <c r="N230" s="695"/>
      <c r="O230" s="1990"/>
      <c r="P230" s="1990"/>
    </row>
    <row s="32343" customFormat="1" customHeight="1" ht="18.75" hidden="1">
      <c r="A231" s="2146"/>
      <c r="B231" s="2146"/>
      <c r="C231" s="730" t="s">
        <v>1118</v>
      </c>
      <c r="D231" s="2734"/>
      <c r="E231" s="2477"/>
      <c r="F231" s="2643"/>
      <c r="G231" s="2689"/>
      <c r="H231" s="1866"/>
      <c r="I231" s="1012" t="s">
        <v>1117</v>
      </c>
      <c r="J231" s="932"/>
      <c r="K231" s="1866"/>
      <c r="L231" s="575"/>
      <c r="M231" s="702"/>
      <c r="N231" s="695"/>
      <c r="O231" s="1990"/>
      <c r="P231" s="1990"/>
    </row>
    <row s="32343" customFormat="1" customHeight="1" ht="0.75" hidden="1">
      <c r="A232" s="2146"/>
      <c r="B232" s="2146"/>
      <c r="C232" s="730" t="s">
        <v>1125</v>
      </c>
      <c r="D232" s="2734"/>
      <c r="E232" s="2477"/>
      <c r="F232" s="2643"/>
      <c r="G232" s="761"/>
      <c r="H232" s="1866"/>
      <c r="I232" s="1012"/>
      <c r="J232" s="932"/>
      <c r="K232" s="1866"/>
      <c r="L232" s="575"/>
      <c r="M232" s="702"/>
      <c r="N232" s="695"/>
      <c r="O232" s="1990"/>
      <c r="P232" s="1990"/>
    </row>
    <row s="32343" customFormat="1" customHeight="1" ht="18.75" hidden="1">
      <c r="A233" s="2146" t="s">
        <v>203</v>
      </c>
      <c r="B233" s="2146" t="s">
        <v>204</v>
      </c>
      <c r="C233" s="730"/>
      <c r="D233" s="2734"/>
      <c r="E233" s="2477"/>
      <c r="F233" s="2643" t="str">
        <f>INDEX(PT_DIFFERENTIATION_VTAR,MATCH(A233,PT_DIFFERENTIATION_VTAR_ID,0))</f>
        <v>Плата за подключение (технологическое присоединение) к системе теплоснабжения</v>
      </c>
      <c r="G233" s="2689" t="str">
        <f>INDEX(PT_DIFFERENTIATION_NTAR,MATCH(B233,PT_DIFFERENTIATION_NTAR_ID,0))</f>
        <v/>
      </c>
      <c r="H233" s="2229"/>
      <c r="I233" s="2105"/>
      <c r="J233" s="2139"/>
      <c r="K233" s="2144"/>
      <c r="L233" s="2229" t="s">
        <v>347</v>
      </c>
      <c r="M233" s="702"/>
      <c r="N233" s="695"/>
      <c r="O233" s="1990"/>
      <c r="P233" s="1990"/>
    </row>
    <row s="32343" customFormat="1" customHeight="1" ht="18.75" hidden="1">
      <c r="A234" s="2146"/>
      <c r="B234" s="2146"/>
      <c r="C234" s="730" t="s">
        <v>1118</v>
      </c>
      <c r="D234" s="2734"/>
      <c r="E234" s="2477"/>
      <c r="F234" s="2643"/>
      <c r="G234" s="2689"/>
      <c r="H234" s="1866"/>
      <c r="I234" s="1012" t="s">
        <v>1117</v>
      </c>
      <c r="J234" s="932"/>
      <c r="K234" s="1866"/>
      <c r="L234" s="575"/>
      <c r="M234" s="702"/>
      <c r="N234" s="695"/>
      <c r="O234" s="1990"/>
      <c r="P234" s="1990"/>
    </row>
    <row s="32343" customFormat="1" customHeight="1" ht="0.75" hidden="1">
      <c r="A235" s="2146"/>
      <c r="B235" s="2146"/>
      <c r="C235" s="730" t="s">
        <v>1125</v>
      </c>
      <c r="D235" s="2734"/>
      <c r="E235" s="2477"/>
      <c r="F235" s="2643"/>
      <c r="G235" s="761"/>
      <c r="H235" s="1866"/>
      <c r="I235" s="1012"/>
      <c r="J235" s="932"/>
      <c r="K235" s="1866"/>
      <c r="L235" s="575"/>
      <c r="M235" s="702"/>
      <c r="N235" s="695"/>
      <c r="O235" s="1990"/>
      <c r="P235" s="1990"/>
    </row>
    <row s="32343" customFormat="1" customHeight="1" ht="18.75" hidden="1">
      <c r="A236" s="2146" t="s">
        <v>229</v>
      </c>
      <c r="B236" s="2146" t="s">
        <v>230</v>
      </c>
      <c r="C236" s="730"/>
      <c r="D236" s="2734"/>
      <c r="E236" s="2477"/>
      <c r="F236" s="2643" t="str">
        <f>INDEX(PT_DIFFERENTIATION_VTAR,MATCH(A236,PT_DIFFERENTIATION_VTAR_ID,0))</f>
        <v>Тариф на питьевую воду (питьевое водоснабжение)</v>
      </c>
      <c r="G236" s="2689" t="str">
        <f>INDEX(PT_DIFFERENTIATION_NTAR,MATCH(B236,PT_DIFFERENTIATION_NTAR_ID,0))</f>
        <v/>
      </c>
      <c r="H236" s="2229"/>
      <c r="I236" s="2105"/>
      <c r="J236" s="2139"/>
      <c r="K236" s="2144"/>
      <c r="L236" s="2229" t="s">
        <v>347</v>
      </c>
      <c r="M236" s="702"/>
      <c r="N236" s="695"/>
      <c r="O236" s="1990"/>
      <c r="P236" s="1990"/>
    </row>
    <row s="32343" customFormat="1" customHeight="1" ht="18.75" hidden="1">
      <c r="A237" s="2146"/>
      <c r="B237" s="2146"/>
      <c r="C237" s="730" t="s">
        <v>1118</v>
      </c>
      <c r="D237" s="2734"/>
      <c r="E237" s="2477"/>
      <c r="F237" s="2643"/>
      <c r="G237" s="2689"/>
      <c r="H237" s="1866"/>
      <c r="I237" s="1012" t="s">
        <v>1117</v>
      </c>
      <c r="J237" s="932"/>
      <c r="K237" s="1866"/>
      <c r="L237" s="575"/>
      <c r="M237" s="702"/>
      <c r="N237" s="695"/>
      <c r="O237" s="1990"/>
      <c r="P237" s="1990"/>
    </row>
    <row s="32343" customFormat="1" customHeight="1" ht="0.75" hidden="1">
      <c r="A238" s="2146"/>
      <c r="B238" s="2146"/>
      <c r="C238" s="730" t="s">
        <v>1125</v>
      </c>
      <c r="D238" s="2734"/>
      <c r="E238" s="2477"/>
      <c r="F238" s="2643"/>
      <c r="G238" s="761"/>
      <c r="H238" s="1866"/>
      <c r="I238" s="1012"/>
      <c r="J238" s="932"/>
      <c r="K238" s="1866"/>
      <c r="L238" s="575"/>
      <c r="M238" s="702"/>
      <c r="N238" s="695"/>
      <c r="O238" s="1990"/>
      <c r="P238" s="1990"/>
    </row>
    <row s="32343" customFormat="1" customHeight="1" ht="18.75" hidden="1">
      <c r="A239" s="2146" t="s">
        <v>234</v>
      </c>
      <c r="B239" s="2146" t="s">
        <v>235</v>
      </c>
      <c r="C239" s="730"/>
      <c r="D239" s="2734"/>
      <c r="E239" s="2477"/>
      <c r="F239" s="2643" t="str">
        <f>INDEX(PT_DIFFERENTIATION_VTAR,MATCH(A239,PT_DIFFERENTIATION_VTAR_ID,0))</f>
        <v>Тариф на техническую воду</v>
      </c>
      <c r="G239" s="2689" t="str">
        <f>INDEX(PT_DIFFERENTIATION_NTAR,MATCH(B239,PT_DIFFERENTIATION_NTAR_ID,0))</f>
        <v/>
      </c>
      <c r="H239" s="2229"/>
      <c r="I239" s="2105"/>
      <c r="J239" s="2139"/>
      <c r="K239" s="2144"/>
      <c r="L239" s="2229" t="s">
        <v>347</v>
      </c>
      <c r="M239" s="702"/>
      <c r="N239" s="695"/>
      <c r="O239" s="1990"/>
      <c r="P239" s="1990"/>
    </row>
    <row s="32343" customFormat="1" customHeight="1" ht="18.75" hidden="1">
      <c r="A240" s="2146"/>
      <c r="B240" s="2146"/>
      <c r="C240" s="730" t="s">
        <v>1118</v>
      </c>
      <c r="D240" s="2734"/>
      <c r="E240" s="2477"/>
      <c r="F240" s="2643"/>
      <c r="G240" s="2689"/>
      <c r="H240" s="1866"/>
      <c r="I240" s="1012" t="s">
        <v>1117</v>
      </c>
      <c r="J240" s="932"/>
      <c r="K240" s="1866"/>
      <c r="L240" s="575"/>
      <c r="M240" s="702"/>
      <c r="N240" s="695"/>
      <c r="O240" s="1990"/>
      <c r="P240" s="1990"/>
    </row>
    <row s="32343" customFormat="1" customHeight="1" ht="0.75" hidden="1">
      <c r="A241" s="2146"/>
      <c r="B241" s="2146"/>
      <c r="C241" s="730" t="s">
        <v>1125</v>
      </c>
      <c r="D241" s="2734"/>
      <c r="E241" s="2477"/>
      <c r="F241" s="2643"/>
      <c r="G241" s="761"/>
      <c r="H241" s="1866"/>
      <c r="I241" s="1012"/>
      <c r="J241" s="932"/>
      <c r="K241" s="1866"/>
      <c r="L241" s="575"/>
      <c r="M241" s="702"/>
      <c r="N241" s="695"/>
      <c r="O241" s="1990"/>
      <c r="P241" s="1990"/>
    </row>
    <row s="32343" customFormat="1" customHeight="1" ht="18.75" hidden="1">
      <c r="A242" s="2146" t="s">
        <v>239</v>
      </c>
      <c r="B242" s="2146" t="s">
        <v>240</v>
      </c>
      <c r="C242" s="730"/>
      <c r="D242" s="2734"/>
      <c r="E242" s="2477"/>
      <c r="F242" s="2643" t="str">
        <f>INDEX(PT_DIFFERENTIATION_VTAR,MATCH(A242,PT_DIFFERENTIATION_VTAR_ID,0))</f>
        <v>Тариф на транспортировку воды</v>
      </c>
      <c r="G242" s="2689" t="str">
        <f>INDEX(PT_DIFFERENTIATION_NTAR,MATCH(B242,PT_DIFFERENTIATION_NTAR_ID,0))</f>
        <v/>
      </c>
      <c r="H242" s="2229"/>
      <c r="I242" s="2105"/>
      <c r="J242" s="2139"/>
      <c r="K242" s="2144"/>
      <c r="L242" s="2229" t="s">
        <v>347</v>
      </c>
      <c r="M242" s="702"/>
      <c r="N242" s="695"/>
      <c r="O242" s="1990"/>
      <c r="P242" s="1990"/>
    </row>
    <row s="32343" customFormat="1" customHeight="1" ht="18.75" hidden="1">
      <c r="A243" s="2146"/>
      <c r="B243" s="2146"/>
      <c r="C243" s="730" t="s">
        <v>1118</v>
      </c>
      <c r="D243" s="2734"/>
      <c r="E243" s="2477"/>
      <c r="F243" s="2643"/>
      <c r="G243" s="2689"/>
      <c r="H243" s="1866"/>
      <c r="I243" s="1012" t="s">
        <v>1117</v>
      </c>
      <c r="J243" s="932"/>
      <c r="K243" s="1866"/>
      <c r="L243" s="575"/>
      <c r="M243" s="702"/>
      <c r="N243" s="695"/>
      <c r="O243" s="1990"/>
      <c r="P243" s="1990"/>
    </row>
    <row s="32343" customFormat="1" customHeight="1" ht="0.75" hidden="1">
      <c r="A244" s="2146"/>
      <c r="B244" s="2146"/>
      <c r="C244" s="730" t="s">
        <v>1125</v>
      </c>
      <c r="D244" s="2734"/>
      <c r="E244" s="2477"/>
      <c r="F244" s="2643"/>
      <c r="G244" s="761"/>
      <c r="H244" s="1866"/>
      <c r="I244" s="1012"/>
      <c r="J244" s="932"/>
      <c r="K244" s="1866"/>
      <c r="L244" s="575"/>
      <c r="M244" s="702"/>
      <c r="N244" s="695"/>
      <c r="O244" s="1990"/>
      <c r="P244" s="1990"/>
    </row>
    <row s="32343" customFormat="1" customHeight="1" ht="18.75" hidden="1">
      <c r="A245" s="2146" t="s">
        <v>244</v>
      </c>
      <c r="B245" s="2146" t="s">
        <v>245</v>
      </c>
      <c r="C245" s="730"/>
      <c r="D245" s="2734"/>
      <c r="E245" s="2477"/>
      <c r="F245" s="2643" t="str">
        <f>INDEX(PT_DIFFERENTIATION_VTAR,MATCH(A245,PT_DIFFERENTIATION_VTAR_ID,0))</f>
        <v>Тариф на подвоз воды</v>
      </c>
      <c r="G245" s="2689" t="str">
        <f>INDEX(PT_DIFFERENTIATION_NTAR,MATCH(B245,PT_DIFFERENTIATION_NTAR_ID,0))</f>
        <v/>
      </c>
      <c r="H245" s="2229"/>
      <c r="I245" s="2105"/>
      <c r="J245" s="2139"/>
      <c r="K245" s="2144"/>
      <c r="L245" s="2229" t="s">
        <v>347</v>
      </c>
      <c r="M245" s="702"/>
      <c r="N245" s="695"/>
      <c r="O245" s="1990"/>
      <c r="P245" s="1990"/>
    </row>
    <row s="32343" customFormat="1" customHeight="1" ht="18.75" hidden="1">
      <c r="A246" s="2146"/>
      <c r="B246" s="2146"/>
      <c r="C246" s="730" t="s">
        <v>1118</v>
      </c>
      <c r="D246" s="2734"/>
      <c r="E246" s="2477"/>
      <c r="F246" s="2643"/>
      <c r="G246" s="2689"/>
      <c r="H246" s="1866"/>
      <c r="I246" s="1012" t="s">
        <v>1117</v>
      </c>
      <c r="J246" s="932"/>
      <c r="K246" s="1866"/>
      <c r="L246" s="575"/>
      <c r="M246" s="702"/>
      <c r="N246" s="695"/>
      <c r="O246" s="1990"/>
      <c r="P246" s="1990"/>
    </row>
    <row s="32343" customFormat="1" customHeight="1" ht="0.75" hidden="1">
      <c r="A247" s="2146"/>
      <c r="B247" s="2146"/>
      <c r="C247" s="730" t="s">
        <v>1125</v>
      </c>
      <c r="D247" s="2734"/>
      <c r="E247" s="2477"/>
      <c r="F247" s="2643"/>
      <c r="G247" s="761"/>
      <c r="H247" s="1866"/>
      <c r="I247" s="1012"/>
      <c r="J247" s="932"/>
      <c r="K247" s="1866"/>
      <c r="L247" s="575"/>
      <c r="M247" s="702"/>
      <c r="N247" s="695"/>
      <c r="O247" s="1990"/>
      <c r="P247" s="1990"/>
    </row>
    <row s="32343" customFormat="1" customHeight="1" ht="18.75" hidden="1">
      <c r="A248" s="2146" t="s">
        <v>249</v>
      </c>
      <c r="B248" s="2146" t="s">
        <v>250</v>
      </c>
      <c r="C248" s="730"/>
      <c r="D248" s="2734"/>
      <c r="E248" s="2477"/>
      <c r="F248" s="264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689" t="str">
        <f>INDEX(PT_DIFFERENTIATION_NTAR,MATCH(B248,PT_DIFFERENTIATION_NTAR_ID,0))</f>
        <v/>
      </c>
      <c r="H248" s="2229"/>
      <c r="I248" s="2105"/>
      <c r="J248" s="2139"/>
      <c r="K248" s="2144"/>
      <c r="L248" s="2229" t="s">
        <v>347</v>
      </c>
      <c r="M248" s="702"/>
      <c r="N248" s="695"/>
      <c r="O248" s="1990"/>
      <c r="P248" s="1990"/>
    </row>
    <row s="32343" customFormat="1" customHeight="1" ht="18.75" hidden="1">
      <c r="A249" s="2146"/>
      <c r="B249" s="2146"/>
      <c r="C249" s="730" t="s">
        <v>1118</v>
      </c>
      <c r="D249" s="2734"/>
      <c r="E249" s="2477"/>
      <c r="F249" s="2643"/>
      <c r="G249" s="2689"/>
      <c r="H249" s="1866"/>
      <c r="I249" s="1012" t="s">
        <v>1117</v>
      </c>
      <c r="J249" s="932"/>
      <c r="K249" s="1866"/>
      <c r="L249" s="575"/>
      <c r="M249" s="702"/>
      <c r="N249" s="695"/>
      <c r="O249" s="1990"/>
      <c r="P249" s="1990"/>
    </row>
    <row s="32343" customFormat="1" customHeight="1" ht="0.75" hidden="1">
      <c r="A250" s="2146"/>
      <c r="B250" s="2146"/>
      <c r="C250" s="730" t="s">
        <v>1125</v>
      </c>
      <c r="D250" s="2734"/>
      <c r="E250" s="2477"/>
      <c r="F250" s="2643"/>
      <c r="G250" s="761"/>
      <c r="H250" s="1866"/>
      <c r="I250" s="1012"/>
      <c r="J250" s="932"/>
      <c r="K250" s="1866"/>
      <c r="L250" s="575"/>
      <c r="M250" s="702"/>
      <c r="N250" s="695"/>
      <c r="O250" s="1990"/>
      <c r="P250" s="1990"/>
    </row>
    <row s="32343" customFormat="1" customHeight="1" ht="18.75" hidden="1">
      <c r="A251" s="2146" t="s">
        <v>258</v>
      </c>
      <c r="B251" s="2146" t="s">
        <v>259</v>
      </c>
      <c r="C251" s="730"/>
      <c r="D251" s="2734"/>
      <c r="E251" s="2477"/>
      <c r="F251" s="2643" t="str">
        <f>INDEX(PT_DIFFERENTIATION_VTAR,MATCH(A251,PT_DIFFERENTIATION_VTAR_ID,0))</f>
        <v>Тариф на горячую воду (горячее водоснабжение)</v>
      </c>
      <c r="G251" s="2689" t="str">
        <f>INDEX(PT_DIFFERENTIATION_NTAR,MATCH(B251,PT_DIFFERENTIATION_NTAR_ID,0))</f>
        <v>Тариф на горячую воду в закрытой системе горячего водоснабжения, поставляемую потребителям</v>
      </c>
      <c r="H251" s="2229"/>
      <c r="I251" s="2105"/>
      <c r="J251" s="2139"/>
      <c r="K251" s="2144"/>
      <c r="L251" s="2229" t="s">
        <v>347</v>
      </c>
      <c r="M251" s="702"/>
      <c r="N251" s="695"/>
      <c r="O251" s="1990"/>
      <c r="P251" s="1990"/>
    </row>
    <row s="32343" customFormat="1" customHeight="1" ht="18.75" hidden="1">
      <c r="A252" s="2146"/>
      <c r="B252" s="2146"/>
      <c r="C252" s="730" t="s">
        <v>1118</v>
      </c>
      <c r="D252" s="2734"/>
      <c r="E252" s="2477"/>
      <c r="F252" s="2643"/>
      <c r="G252" s="2689"/>
      <c r="H252" s="1866"/>
      <c r="I252" s="1012" t="s">
        <v>1117</v>
      </c>
      <c r="J252" s="932"/>
      <c r="K252" s="1866"/>
      <c r="L252" s="575"/>
      <c r="M252" s="702"/>
      <c r="N252" s="695"/>
      <c r="O252" s="1990"/>
      <c r="P252" s="1990"/>
    </row>
    <row s="37389" customFormat="1" customHeight="1" ht="18.75">
      <c r="A253" s="7451" t="s">
        <v>258</v>
      </c>
      <c r="B253" s="7451" t="s">
        <v>273</v>
      </c>
      <c r="C253" s="10694"/>
      <c r="D253" s="10695"/>
      <c r="E253" s="10696"/>
      <c r="F253" s="10696"/>
      <c r="G253" s="10697" t="str">
        <f>INDEX(PT_DIFFERENTIATION_NTAR,MATCH(B253,PT_DIFFERENTIATION_NTAR_ID,0))</f>
        <v>Тариф на горячую воду в закрытой системе горячего водоснабжения, поставляемую группе потребителей "население"</v>
      </c>
      <c r="H253" s="6911"/>
      <c r="I253" s="10698"/>
      <c r="J253" s="10699"/>
      <c r="K253" s="10716"/>
      <c r="L253" s="6911" t="s">
        <v>347</v>
      </c>
      <c r="M253" s="10701"/>
      <c r="N253" s="10702"/>
      <c r="O253" s="7194"/>
      <c r="P253" s="7194"/>
      <c r="Q253" s="6601"/>
      <c r="R253" s="6601"/>
      <c r="S253" s="6601"/>
      <c r="T253" s="6601"/>
      <c r="U253" s="6601"/>
      <c r="V253" s="6601"/>
      <c r="W253" s="6601"/>
      <c r="X253" s="6601"/>
      <c r="Y253" s="6601"/>
      <c r="Z253" s="6601"/>
      <c r="AA253" s="6601"/>
      <c r="AB253" s="6601"/>
      <c r="AC253" s="6601"/>
      <c r="AD253" s="6601"/>
      <c r="AE253" s="6601"/>
      <c r="AF253" s="6601"/>
      <c r="AG253" s="6601"/>
    </row>
    <row s="37389" customFormat="1" customHeight="1" ht="18.75">
      <c r="A254" s="7451"/>
      <c r="B254" s="7451"/>
      <c r="C254" s="10694" t="s">
        <v>1118</v>
      </c>
      <c r="D254" s="10695"/>
      <c r="E254" s="10696"/>
      <c r="F254" s="10696"/>
      <c r="G254" s="10697"/>
      <c r="H254" s="10737"/>
      <c r="I254" s="10738" t="s">
        <v>1117</v>
      </c>
      <c r="J254" s="10739"/>
      <c r="K254" s="10740"/>
      <c r="L254" s="10741"/>
      <c r="M254" s="10701"/>
      <c r="N254" s="10702"/>
      <c r="O254" s="7194"/>
      <c r="P254" s="7194"/>
      <c r="Q254" s="6601"/>
      <c r="R254" s="6601"/>
      <c r="S254" s="6601"/>
      <c r="T254" s="6601"/>
      <c r="U254" s="6601"/>
      <c r="V254" s="6601"/>
      <c r="W254" s="6601"/>
      <c r="X254" s="6601"/>
      <c r="Y254" s="6601"/>
      <c r="Z254" s="6601"/>
      <c r="AA254" s="6601"/>
      <c r="AB254" s="6601"/>
      <c r="AC254" s="6601"/>
      <c r="AD254" s="6601"/>
      <c r="AE254" s="6601"/>
      <c r="AF254" s="6601"/>
      <c r="AG254" s="6601"/>
    </row>
    <row s="37389" customFormat="1" customHeight="1" ht="18.75">
      <c r="A255" s="7451" t="s">
        <v>258</v>
      </c>
      <c r="B255" s="7451" t="s">
        <v>284</v>
      </c>
      <c r="C255" s="10694"/>
      <c r="D255" s="10695"/>
      <c r="E255" s="10696"/>
      <c r="F255" s="10696"/>
      <c r="G255" s="10697" t="str">
        <f>INDEX(PT_DIFFERENTIATION_NTAR,MATCH(B255,PT_DIFFERENTIATION_NTAR_ID,0))</f>
        <v>Тариф на горячую воду в закрытой системе горячего водоснабжения, поставляемую группе потребителей "потребители (кроме населения)"</v>
      </c>
      <c r="H255" s="6911"/>
      <c r="I255" s="10698"/>
      <c r="J255" s="10699"/>
      <c r="K255" s="10716"/>
      <c r="L255" s="6911" t="s">
        <v>347</v>
      </c>
      <c r="M255" s="10701"/>
      <c r="N255" s="10702"/>
      <c r="O255" s="7194"/>
      <c r="P255" s="7194"/>
      <c r="Q255" s="6601"/>
      <c r="R255" s="6601"/>
      <c r="S255" s="6601"/>
      <c r="T255" s="6601"/>
      <c r="U255" s="6601"/>
      <c r="V255" s="6601"/>
      <c r="W255" s="6601"/>
      <c r="X255" s="6601"/>
      <c r="Y255" s="6601"/>
      <c r="Z255" s="6601"/>
      <c r="AA255" s="6601"/>
      <c r="AB255" s="6601"/>
      <c r="AC255" s="6601"/>
      <c r="AD255" s="6601"/>
      <c r="AE255" s="6601"/>
      <c r="AF255" s="6601"/>
      <c r="AG255" s="6601"/>
    </row>
    <row s="37389" customFormat="1" customHeight="1" ht="18.75">
      <c r="A256" s="7451"/>
      <c r="B256" s="7451"/>
      <c r="C256" s="10694" t="s">
        <v>1118</v>
      </c>
      <c r="D256" s="10695"/>
      <c r="E256" s="10696"/>
      <c r="F256" s="10696"/>
      <c r="G256" s="10697"/>
      <c r="H256" s="10742"/>
      <c r="I256" s="10743" t="s">
        <v>1117</v>
      </c>
      <c r="J256" s="10744"/>
      <c r="K256" s="10745"/>
      <c r="L256" s="10746"/>
      <c r="M256" s="10701"/>
      <c r="N256" s="10702"/>
      <c r="O256" s="7194"/>
      <c r="P256" s="7194"/>
      <c r="Q256" s="6601"/>
      <c r="R256" s="6601"/>
      <c r="S256" s="6601"/>
      <c r="T256" s="6601"/>
      <c r="U256" s="6601"/>
      <c r="V256" s="6601"/>
      <c r="W256" s="6601"/>
      <c r="X256" s="6601"/>
      <c r="Y256" s="6601"/>
      <c r="Z256" s="6601"/>
      <c r="AA256" s="6601"/>
      <c r="AB256" s="6601"/>
      <c r="AC256" s="6601"/>
      <c r="AD256" s="6601"/>
      <c r="AE256" s="6601"/>
      <c r="AF256" s="6601"/>
      <c r="AG256" s="6601"/>
    </row>
    <row s="32343" customFormat="1" customHeight="1" ht="0.75" hidden="1">
      <c r="A257" s="2146"/>
      <c r="B257" s="2146"/>
      <c r="C257" s="730" t="s">
        <v>1125</v>
      </c>
      <c r="D257" s="2734"/>
      <c r="E257" s="2477"/>
      <c r="F257" s="2643"/>
      <c r="G257" s="761"/>
      <c r="H257" s="1866"/>
      <c r="I257" s="1012"/>
      <c r="J257" s="932"/>
      <c r="K257" s="1866"/>
      <c r="L257" s="575"/>
      <c r="M257" s="702"/>
      <c r="N257" s="695"/>
      <c r="O257" s="1990"/>
      <c r="P257" s="1990"/>
    </row>
    <row s="32343" customFormat="1" customHeight="1" ht="18.75" hidden="1">
      <c r="A258" s="2146" t="s">
        <v>296</v>
      </c>
      <c r="B258" s="2146" t="s">
        <v>297</v>
      </c>
      <c r="C258" s="730"/>
      <c r="D258" s="2734"/>
      <c r="E258" s="2477"/>
      <c r="F258" s="2643" t="str">
        <f>INDEX(PT_DIFFERENTIATION_VTAR,MATCH(A258,PT_DIFFERENTIATION_VTAR_ID,0))</f>
        <v>Тариф на транспортировку горячей воды</v>
      </c>
      <c r="G258" s="2689" t="str">
        <f>INDEX(PT_DIFFERENTIATION_NTAR,MATCH(B258,PT_DIFFERENTIATION_NTAR_ID,0))</f>
        <v/>
      </c>
      <c r="H258" s="2229"/>
      <c r="I258" s="2105"/>
      <c r="J258" s="2139"/>
      <c r="K258" s="2144"/>
      <c r="L258" s="2229" t="s">
        <v>347</v>
      </c>
      <c r="M258" s="702"/>
      <c r="N258" s="695"/>
      <c r="O258" s="1990"/>
      <c r="P258" s="1990"/>
    </row>
    <row s="32343" customFormat="1" customHeight="1" ht="18.75" hidden="1">
      <c r="A259" s="2146"/>
      <c r="B259" s="2146"/>
      <c r="C259" s="730" t="s">
        <v>1118</v>
      </c>
      <c r="D259" s="2734"/>
      <c r="E259" s="2477"/>
      <c r="F259" s="2643"/>
      <c r="G259" s="2689"/>
      <c r="H259" s="1866"/>
      <c r="I259" s="1012" t="s">
        <v>1117</v>
      </c>
      <c r="J259" s="932"/>
      <c r="K259" s="1866"/>
      <c r="L259" s="575"/>
      <c r="M259" s="702"/>
      <c r="N259" s="695"/>
      <c r="O259" s="1990"/>
      <c r="P259" s="1990"/>
    </row>
    <row s="32343" customFormat="1" customHeight="1" ht="0.75" hidden="1">
      <c r="A260" s="2146"/>
      <c r="B260" s="2146"/>
      <c r="C260" s="730" t="s">
        <v>1125</v>
      </c>
      <c r="D260" s="2734"/>
      <c r="E260" s="2477"/>
      <c r="F260" s="2643"/>
      <c r="G260" s="761"/>
      <c r="H260" s="1866"/>
      <c r="I260" s="1012"/>
      <c r="J260" s="932"/>
      <c r="K260" s="1866"/>
      <c r="L260" s="575"/>
      <c r="M260" s="702"/>
      <c r="N260" s="695"/>
      <c r="O260" s="1990"/>
      <c r="P260" s="1990"/>
    </row>
    <row s="32343" customFormat="1" customHeight="1" ht="18.75" hidden="1">
      <c r="A261" s="2146" t="s">
        <v>301</v>
      </c>
      <c r="B261" s="2146" t="s">
        <v>302</v>
      </c>
      <c r="C261" s="730"/>
      <c r="D261" s="2734"/>
      <c r="E261" s="2477"/>
      <c r="F261" s="2643" t="str">
        <f>INDEX(PT_DIFFERENTIATION_VTAR,MATCH(A261,PT_DIFFERENTIATION_VTAR_ID,0))</f>
        <v>Тариф на подключение (технологическое присоединение) к централизованной системе горячего водоснабжения</v>
      </c>
      <c r="G261" s="2689" t="str">
        <f>INDEX(PT_DIFFERENTIATION_NTAR,MATCH(B261,PT_DIFFERENTIATION_NTAR_ID,0))</f>
        <v/>
      </c>
      <c r="H261" s="2229"/>
      <c r="I261" s="2105"/>
      <c r="J261" s="2139"/>
      <c r="K261" s="2144"/>
      <c r="L261" s="2229" t="s">
        <v>347</v>
      </c>
      <c r="M261" s="702"/>
      <c r="N261" s="695"/>
      <c r="O261" s="1990"/>
      <c r="P261" s="1990"/>
    </row>
    <row s="32343" customFormat="1" customHeight="1" ht="18.75" hidden="1">
      <c r="A262" s="2146"/>
      <c r="B262" s="2146"/>
      <c r="C262" s="730" t="s">
        <v>1118</v>
      </c>
      <c r="D262" s="2734"/>
      <c r="E262" s="2477"/>
      <c r="F262" s="2643"/>
      <c r="G262" s="2689"/>
      <c r="H262" s="1866"/>
      <c r="I262" s="1012" t="s">
        <v>1117</v>
      </c>
      <c r="J262" s="932"/>
      <c r="K262" s="1866"/>
      <c r="L262" s="575"/>
      <c r="M262" s="702"/>
      <c r="N262" s="695"/>
      <c r="O262" s="1990"/>
      <c r="P262" s="1990"/>
    </row>
    <row s="32343" customFormat="1" customHeight="1" ht="0.75" hidden="1">
      <c r="A263" s="2146"/>
      <c r="B263" s="2146"/>
      <c r="C263" s="730" t="s">
        <v>1125</v>
      </c>
      <c r="D263" s="2734"/>
      <c r="E263" s="2477"/>
      <c r="F263" s="2643"/>
      <c r="G263" s="761"/>
      <c r="H263" s="1866"/>
      <c r="I263" s="1012"/>
      <c r="J263" s="932"/>
      <c r="K263" s="1866"/>
      <c r="L263" s="575"/>
      <c r="M263" s="702"/>
      <c r="N263" s="695"/>
      <c r="O263" s="1990"/>
      <c r="P263" s="1990"/>
    </row>
    <row s="32343" customFormat="1" customHeight="1" ht="18.75" hidden="1">
      <c r="A264" s="2146" t="s">
        <v>306</v>
      </c>
      <c r="B264" s="2146" t="s">
        <v>307</v>
      </c>
      <c r="C264" s="730"/>
      <c r="D264" s="2734"/>
      <c r="E264" s="2477"/>
      <c r="F264" s="2643" t="str">
        <f>INDEX(PT_DIFFERENTIATION_VTAR,MATCH(A264,PT_DIFFERENTIATION_VTAR_ID,0))</f>
        <v>Тариф на водоотведение</v>
      </c>
      <c r="G264" s="2689" t="str">
        <f>INDEX(PT_DIFFERENTIATION_NTAR,MATCH(B264,PT_DIFFERENTIATION_NTAR_ID,0))</f>
        <v/>
      </c>
      <c r="H264" s="2229"/>
      <c r="I264" s="2105"/>
      <c r="J264" s="2139"/>
      <c r="K264" s="2144"/>
      <c r="L264" s="2229" t="s">
        <v>347</v>
      </c>
      <c r="M264" s="702"/>
      <c r="N264" s="695"/>
      <c r="O264" s="1990"/>
      <c r="P264" s="1990"/>
    </row>
    <row s="32343" customFormat="1" customHeight="1" ht="18.75" hidden="1">
      <c r="A265" s="2146"/>
      <c r="B265" s="2146"/>
      <c r="C265" s="730" t="s">
        <v>1118</v>
      </c>
      <c r="D265" s="2734"/>
      <c r="E265" s="2477"/>
      <c r="F265" s="2643"/>
      <c r="G265" s="2689"/>
      <c r="H265" s="1866"/>
      <c r="I265" s="1012" t="s">
        <v>1117</v>
      </c>
      <c r="J265" s="932"/>
      <c r="K265" s="1866"/>
      <c r="L265" s="575"/>
      <c r="M265" s="702"/>
      <c r="N265" s="695"/>
      <c r="O265" s="1990"/>
      <c r="P265" s="1990"/>
    </row>
    <row s="32343" customFormat="1" customHeight="1" ht="0.75" hidden="1">
      <c r="A266" s="2146"/>
      <c r="B266" s="2146"/>
      <c r="C266" s="730" t="s">
        <v>1125</v>
      </c>
      <c r="D266" s="2734"/>
      <c r="E266" s="2477"/>
      <c r="F266" s="2643"/>
      <c r="G266" s="761"/>
      <c r="H266" s="1866"/>
      <c r="I266" s="1012"/>
      <c r="J266" s="932"/>
      <c r="K266" s="1866"/>
      <c r="L266" s="575"/>
      <c r="M266" s="702"/>
      <c r="N266" s="695"/>
      <c r="O266" s="1990"/>
      <c r="P266" s="1990"/>
    </row>
    <row s="32343" customFormat="1" customHeight="1" ht="18.75" hidden="1">
      <c r="A267" s="2146" t="s">
        <v>311</v>
      </c>
      <c r="B267" s="2146" t="s">
        <v>312</v>
      </c>
      <c r="C267" s="730"/>
      <c r="D267" s="2734"/>
      <c r="E267" s="2477"/>
      <c r="F267" s="2643" t="str">
        <f>INDEX(PT_DIFFERENTIATION_VTAR,MATCH(A267,PT_DIFFERENTIATION_VTAR_ID,0))</f>
        <v>Тариф на транспортировку сточных вод</v>
      </c>
      <c r="G267" s="2689" t="str">
        <f>INDEX(PT_DIFFERENTIATION_NTAR,MATCH(B267,PT_DIFFERENTIATION_NTAR_ID,0))</f>
        <v/>
      </c>
      <c r="H267" s="2229"/>
      <c r="I267" s="2105"/>
      <c r="J267" s="2139"/>
      <c r="K267" s="2144"/>
      <c r="L267" s="2229" t="s">
        <v>347</v>
      </c>
      <c r="M267" s="702"/>
      <c r="N267" s="695"/>
      <c r="O267" s="1990"/>
      <c r="P267" s="1990"/>
    </row>
    <row s="32343" customFormat="1" customHeight="1" ht="18.75" hidden="1">
      <c r="A268" s="2146"/>
      <c r="B268" s="2146"/>
      <c r="C268" s="730" t="s">
        <v>1118</v>
      </c>
      <c r="D268" s="2734"/>
      <c r="E268" s="2477"/>
      <c r="F268" s="2643"/>
      <c r="G268" s="2689"/>
      <c r="H268" s="1866"/>
      <c r="I268" s="1012" t="s">
        <v>1117</v>
      </c>
      <c r="J268" s="932"/>
      <c r="K268" s="1866"/>
      <c r="L268" s="575"/>
      <c r="M268" s="702"/>
      <c r="N268" s="695"/>
      <c r="O268" s="1990"/>
      <c r="P268" s="1990"/>
    </row>
    <row s="32343" customFormat="1" customHeight="1" ht="0.75" hidden="1">
      <c r="A269" s="2146"/>
      <c r="B269" s="2146"/>
      <c r="C269" s="730" t="s">
        <v>1125</v>
      </c>
      <c r="D269" s="2734"/>
      <c r="E269" s="2477"/>
      <c r="F269" s="2643"/>
      <c r="G269" s="761"/>
      <c r="H269" s="1866"/>
      <c r="I269" s="1012"/>
      <c r="J269" s="932"/>
      <c r="K269" s="1866"/>
      <c r="L269" s="575"/>
      <c r="M269" s="702"/>
      <c r="N269" s="695"/>
      <c r="O269" s="1990"/>
      <c r="P269" s="1990"/>
    </row>
    <row s="32343" customFormat="1" customHeight="1" ht="18.75" hidden="1">
      <c r="A270" s="2146" t="s">
        <v>316</v>
      </c>
      <c r="B270" s="2146" t="s">
        <v>317</v>
      </c>
      <c r="C270" s="730"/>
      <c r="D270" s="2734"/>
      <c r="E270" s="2477"/>
      <c r="F270" s="2643" t="str">
        <f>INDEX(PT_DIFFERENTIATION_VTAR,MATCH(A270,PT_DIFFERENTIATION_VTAR_ID,0))</f>
        <v>Тариф на подключение (технологическое присоединение) к централизованной системе водоотведения</v>
      </c>
      <c r="G270" s="2689" t="str">
        <f>INDEX(PT_DIFFERENTIATION_NTAR,MATCH(B270,PT_DIFFERENTIATION_NTAR_ID,0))</f>
        <v/>
      </c>
      <c r="H270" s="2229"/>
      <c r="I270" s="2105"/>
      <c r="J270" s="2139"/>
      <c r="K270" s="2144"/>
      <c r="L270" s="2229" t="s">
        <v>347</v>
      </c>
      <c r="M270" s="702"/>
      <c r="N270" s="695"/>
      <c r="O270" s="1990"/>
      <c r="P270" s="1990"/>
    </row>
    <row s="32343" customFormat="1" customHeight="1" ht="18.75" hidden="1">
      <c r="A271" s="2146"/>
      <c r="B271" s="2146"/>
      <c r="C271" s="730" t="s">
        <v>1118</v>
      </c>
      <c r="D271" s="2734"/>
      <c r="E271" s="2477"/>
      <c r="F271" s="2643"/>
      <c r="G271" s="2689"/>
      <c r="H271" s="1866"/>
      <c r="I271" s="1012" t="s">
        <v>1117</v>
      </c>
      <c r="J271" s="932"/>
      <c r="K271" s="1866"/>
      <c r="L271" s="575"/>
      <c r="M271" s="702"/>
      <c r="N271" s="695"/>
      <c r="O271" s="1990"/>
      <c r="P271" s="1990"/>
    </row>
    <row s="32343" customFormat="1" customHeight="1" ht="0.75">
      <c r="A272" s="2146"/>
      <c r="B272" s="2146"/>
      <c r="C272" s="730" t="s">
        <v>1125</v>
      </c>
      <c r="D272" s="2734"/>
      <c r="E272" s="2477"/>
      <c r="F272" s="2643"/>
      <c r="G272" s="761"/>
      <c r="H272" s="1866"/>
      <c r="I272" s="1012"/>
      <c r="J272" s="932"/>
      <c r="K272" s="1866"/>
      <c r="L272" s="575"/>
      <c r="M272" s="702"/>
      <c r="N272" s="695"/>
      <c r="O272" s="1990"/>
      <c r="P272" s="1990"/>
    </row>
    <row customHeight="1" ht="25.5">
      <c r="A273" s="2146"/>
      <c r="B273" s="2146"/>
      <c r="D273" s="737"/>
      <c r="E273" s="509" t="s">
        <v>91</v>
      </c>
      <c r="F273" s="272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3" s="2726"/>
      <c r="H273" s="2726"/>
      <c r="I273" s="2726"/>
      <c r="J273" s="2726"/>
      <c r="K273" s="2726"/>
      <c r="L273" s="2726"/>
      <c r="M273" s="658"/>
      <c r="N273" s="695"/>
    </row>
    <row s="32343" customFormat="1" customHeight="1" ht="60.75" hidden="1">
      <c r="A274" s="2146" t="s">
        <v>161</v>
      </c>
      <c r="B274" s="2146" t="s">
        <v>162</v>
      </c>
      <c r="C274" s="730"/>
      <c r="D274" s="2734"/>
      <c r="E274" s="2477"/>
      <c r="F274" s="2643"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689" t="str">
        <f>INDEX(PT_DIFFERENTIATION_NTAR,MATCH(B274,PT_DIFFERENTIATION_NTAR_ID,0))</f>
        <v/>
      </c>
      <c r="H274" s="2229"/>
      <c r="I274" s="2105"/>
      <c r="J274" s="2139"/>
      <c r="K274" s="2144"/>
      <c r="L274" s="2229" t="s">
        <v>347</v>
      </c>
      <c r="M274" s="24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695"/>
      <c r="O274" s="1990"/>
      <c r="P274" s="1990"/>
    </row>
    <row s="32343" customFormat="1" customHeight="1" ht="18.75" hidden="1">
      <c r="A275" s="2146"/>
      <c r="B275" s="2146"/>
      <c r="C275" s="730" t="s">
        <v>1118</v>
      </c>
      <c r="D275" s="2734"/>
      <c r="E275" s="2477"/>
      <c r="F275" s="2643"/>
      <c r="G275" s="2689"/>
      <c r="H275" s="1866"/>
      <c r="I275" s="1012" t="s">
        <v>1117</v>
      </c>
      <c r="J275" s="932"/>
      <c r="K275" s="1866"/>
      <c r="L275" s="575"/>
      <c r="M275" s="2437"/>
      <c r="N275" s="695"/>
      <c r="O275" s="1990"/>
      <c r="P275" s="1990"/>
    </row>
    <row s="32343" customFormat="1" customHeight="1" ht="0.75" hidden="1">
      <c r="A276" s="2146"/>
      <c r="B276" s="2146"/>
      <c r="C276" s="730" t="s">
        <v>1125</v>
      </c>
      <c r="D276" s="2734"/>
      <c r="E276" s="2477"/>
      <c r="F276" s="2643"/>
      <c r="G276" s="761"/>
      <c r="H276" s="1866"/>
      <c r="I276" s="1012"/>
      <c r="J276" s="932"/>
      <c r="K276" s="1866"/>
      <c r="L276" s="575"/>
      <c r="M276" s="2437"/>
      <c r="N276" s="695"/>
      <c r="O276" s="1990"/>
      <c r="P276" s="1990"/>
    </row>
    <row s="32343" customFormat="1" customHeight="1" ht="45" hidden="1">
      <c r="A277" s="2146" t="s">
        <v>167</v>
      </c>
      <c r="B277" s="2146" t="s">
        <v>168</v>
      </c>
      <c r="C277" s="730"/>
      <c r="D277" s="2734"/>
      <c r="E277" s="2477"/>
      <c r="F277" s="2643" t="str">
        <f>INDEX(PT_DIFFERENTIATION_VTAR,MATCH(A277,PT_DIFFERENTIATION_VTAR_ID,0))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7" s="2689" t="str">
        <f>INDEX(PT_DIFFERENTIATION_NTAR,MATCH(B277,PT_DIFFERENTIATION_NTAR_ID,0))</f>
        <v/>
      </c>
      <c r="H277" s="2229"/>
      <c r="I277" s="2105"/>
      <c r="J277" s="2139"/>
      <c r="K277" s="2144"/>
      <c r="L277" s="2229" t="s">
        <v>347</v>
      </c>
      <c r="M277" s="2438"/>
      <c r="N277" s="695"/>
      <c r="O277" s="1990"/>
      <c r="P277" s="1990"/>
    </row>
    <row s="32343" customFormat="1" customHeight="1" ht="18.75" hidden="1">
      <c r="A278" s="2146"/>
      <c r="B278" s="2146"/>
      <c r="C278" s="730" t="s">
        <v>1118</v>
      </c>
      <c r="D278" s="2734"/>
      <c r="E278" s="2477"/>
      <c r="F278" s="2643"/>
      <c r="G278" s="2689"/>
      <c r="H278" s="1866"/>
      <c r="I278" s="1012" t="s">
        <v>1117</v>
      </c>
      <c r="J278" s="932"/>
      <c r="K278" s="1866"/>
      <c r="L278" s="575"/>
      <c r="M278" s="2228"/>
      <c r="N278" s="695"/>
      <c r="O278" s="1990"/>
      <c r="P278" s="1990"/>
    </row>
    <row s="32343" customFormat="1" customHeight="1" ht="0.75" hidden="1">
      <c r="A279" s="2146"/>
      <c r="B279" s="2146"/>
      <c r="C279" s="730" t="s">
        <v>1125</v>
      </c>
      <c r="D279" s="2734"/>
      <c r="E279" s="2477"/>
      <c r="F279" s="2643"/>
      <c r="G279" s="761"/>
      <c r="H279" s="1866"/>
      <c r="I279" s="1012"/>
      <c r="J279" s="932"/>
      <c r="K279" s="1866"/>
      <c r="L279" s="575"/>
      <c r="M279" s="702"/>
      <c r="N279" s="695"/>
      <c r="O279" s="1990"/>
      <c r="P279" s="1990"/>
    </row>
    <row s="32343" customFormat="1" customHeight="1" ht="45" hidden="1">
      <c r="A280" s="2146" t="s">
        <v>173</v>
      </c>
      <c r="B280" s="2146" t="s">
        <v>174</v>
      </c>
      <c r="C280" s="730"/>
      <c r="D280" s="2734"/>
      <c r="E280" s="2477"/>
      <c r="F280" s="2643"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689" t="str">
        <f>INDEX(PT_DIFFERENTIATION_NTAR,MATCH(B280,PT_DIFFERENTIATION_NTAR_ID,0))</f>
        <v/>
      </c>
      <c r="H280" s="2229"/>
      <c r="I280" s="2105"/>
      <c r="J280" s="2139"/>
      <c r="K280" s="2144"/>
      <c r="L280" s="2229" t="s">
        <v>347</v>
      </c>
      <c r="M280" s="702"/>
      <c r="N280" s="695"/>
      <c r="O280" s="1990"/>
      <c r="P280" s="1990"/>
    </row>
    <row s="32343" customFormat="1" customHeight="1" ht="18.75" hidden="1">
      <c r="A281" s="2146"/>
      <c r="B281" s="2146"/>
      <c r="C281" s="730" t="s">
        <v>1118</v>
      </c>
      <c r="D281" s="2734"/>
      <c r="E281" s="2477"/>
      <c r="F281" s="2643"/>
      <c r="G281" s="2689"/>
      <c r="H281" s="1866"/>
      <c r="I281" s="1012" t="s">
        <v>1117</v>
      </c>
      <c r="J281" s="932"/>
      <c r="K281" s="1866"/>
      <c r="L281" s="575"/>
      <c r="M281" s="702"/>
      <c r="N281" s="695"/>
      <c r="O281" s="1990"/>
      <c r="P281" s="1990"/>
    </row>
    <row s="32343" customFormat="1" customHeight="1" ht="0.75" hidden="1">
      <c r="A282" s="2146"/>
      <c r="B282" s="2146"/>
      <c r="C282" s="730" t="s">
        <v>1125</v>
      </c>
      <c r="D282" s="2734"/>
      <c r="E282" s="2477"/>
      <c r="F282" s="2643"/>
      <c r="G282" s="761"/>
      <c r="H282" s="1866"/>
      <c r="I282" s="1012"/>
      <c r="J282" s="932"/>
      <c r="K282" s="1866"/>
      <c r="L282" s="575"/>
      <c r="M282" s="702"/>
      <c r="N282" s="695"/>
      <c r="O282" s="1990"/>
      <c r="P282" s="1990"/>
    </row>
    <row s="32343" customFormat="1" customHeight="1" ht="45" hidden="1">
      <c r="A283" s="2146" t="s">
        <v>179</v>
      </c>
      <c r="B283" s="2146" t="s">
        <v>180</v>
      </c>
      <c r="C283" s="730"/>
      <c r="D283" s="2734"/>
      <c r="E283" s="2477"/>
      <c r="F283" s="2643" t="str">
        <f>INDEX(PT_DIFFERENTIATION_VTAR,MATCH(A283,PT_DIFFERENTIATION_VTAR_ID,0))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3" s="2689" t="str">
        <f>INDEX(PT_DIFFERENTIATION_NTAR,MATCH(B283,PT_DIFFERENTIATION_NTAR_ID,0))</f>
        <v/>
      </c>
      <c r="H283" s="2229"/>
      <c r="I283" s="2105"/>
      <c r="J283" s="2139"/>
      <c r="K283" s="2144"/>
      <c r="L283" s="2229" t="s">
        <v>347</v>
      </c>
      <c r="M283" s="702"/>
      <c r="N283" s="695"/>
      <c r="O283" s="1990"/>
      <c r="P283" s="1990"/>
    </row>
    <row s="32343" customFormat="1" customHeight="1" ht="18.75" hidden="1">
      <c r="A284" s="2146"/>
      <c r="B284" s="2146"/>
      <c r="C284" s="730" t="s">
        <v>1118</v>
      </c>
      <c r="D284" s="2734"/>
      <c r="E284" s="2477"/>
      <c r="F284" s="2643"/>
      <c r="G284" s="2689"/>
      <c r="H284" s="1866"/>
      <c r="I284" s="1012" t="s">
        <v>1117</v>
      </c>
      <c r="J284" s="932"/>
      <c r="K284" s="1866"/>
      <c r="L284" s="575"/>
      <c r="M284" s="702"/>
      <c r="N284" s="695"/>
      <c r="O284" s="1990"/>
      <c r="P284" s="1990"/>
    </row>
    <row s="32343" customFormat="1" customHeight="1" ht="0.75" hidden="1">
      <c r="A285" s="2146"/>
      <c r="B285" s="2146"/>
      <c r="C285" s="730" t="s">
        <v>1125</v>
      </c>
      <c r="D285" s="2734"/>
      <c r="E285" s="2477"/>
      <c r="F285" s="2643"/>
      <c r="G285" s="761"/>
      <c r="H285" s="1866"/>
      <c r="I285" s="1012"/>
      <c r="J285" s="932"/>
      <c r="K285" s="1866"/>
      <c r="L285" s="575"/>
      <c r="M285" s="702"/>
      <c r="N285" s="695"/>
      <c r="O285" s="1990"/>
      <c r="P285" s="1990"/>
    </row>
    <row s="32343" customFormat="1" customHeight="1" ht="18.75" hidden="1">
      <c r="A286" s="2146" t="s">
        <v>185</v>
      </c>
      <c r="B286" s="2146" t="s">
        <v>186</v>
      </c>
      <c r="C286" s="730"/>
      <c r="D286" s="2734"/>
      <c r="E286" s="2477"/>
      <c r="F286" s="2643" t="str">
        <f>INDEX(PT_DIFFERENTIATION_VTAR,MATCH(A286,PT_DIFFERENTIATION_VTAR_ID,0))</f>
        <v>Тарифы на услуги по передаче тепловой энергии</v>
      </c>
      <c r="G286" s="2689" t="str">
        <f>INDEX(PT_DIFFERENTIATION_NTAR,MATCH(B286,PT_DIFFERENTIATION_NTAR_ID,0))</f>
        <v/>
      </c>
      <c r="H286" s="2229"/>
      <c r="I286" s="2105"/>
      <c r="J286" s="2139"/>
      <c r="K286" s="2144"/>
      <c r="L286" s="2229" t="s">
        <v>347</v>
      </c>
      <c r="M286" s="702"/>
      <c r="N286" s="695"/>
      <c r="O286" s="1990"/>
      <c r="P286" s="1990"/>
    </row>
    <row s="32343" customFormat="1" customHeight="1" ht="18.75" hidden="1">
      <c r="A287" s="2146"/>
      <c r="B287" s="2146"/>
      <c r="C287" s="730" t="s">
        <v>1118</v>
      </c>
      <c r="D287" s="2734"/>
      <c r="E287" s="2477"/>
      <c r="F287" s="2643"/>
      <c r="G287" s="2689"/>
      <c r="H287" s="1866"/>
      <c r="I287" s="1012" t="s">
        <v>1117</v>
      </c>
      <c r="J287" s="932"/>
      <c r="K287" s="1866"/>
      <c r="L287" s="575"/>
      <c r="M287" s="702"/>
      <c r="N287" s="695"/>
      <c r="O287" s="1990"/>
      <c r="P287" s="1990"/>
    </row>
    <row s="32343" customFormat="1" customHeight="1" ht="0.75" hidden="1">
      <c r="A288" s="2146"/>
      <c r="B288" s="2146"/>
      <c r="C288" s="730" t="s">
        <v>1125</v>
      </c>
      <c r="D288" s="2734"/>
      <c r="E288" s="2477"/>
      <c r="F288" s="2643"/>
      <c r="G288" s="761"/>
      <c r="H288" s="1866"/>
      <c r="I288" s="1012"/>
      <c r="J288" s="932"/>
      <c r="K288" s="1866"/>
      <c r="L288" s="575"/>
      <c r="M288" s="702"/>
      <c r="N288" s="695"/>
      <c r="O288" s="1990"/>
      <c r="P288" s="1990"/>
    </row>
    <row s="32343" customFormat="1" customHeight="1" ht="18.75" hidden="1">
      <c r="A289" s="2146" t="s">
        <v>191</v>
      </c>
      <c r="B289" s="2146" t="s">
        <v>192</v>
      </c>
      <c r="C289" s="730"/>
      <c r="D289" s="2734"/>
      <c r="E289" s="2477"/>
      <c r="F289" s="2643" t="str">
        <f>INDEX(PT_DIFFERENTIATION_VTAR,MATCH(A289,PT_DIFFERENTIATION_VTAR_ID,0))</f>
        <v>Тарифы на услуги по передаче теплоносителя</v>
      </c>
      <c r="G289" s="2689" t="str">
        <f>INDEX(PT_DIFFERENTIATION_NTAR,MATCH(B289,PT_DIFFERENTIATION_NTAR_ID,0))</f>
        <v/>
      </c>
      <c r="H289" s="2229"/>
      <c r="I289" s="2105"/>
      <c r="J289" s="2139"/>
      <c r="K289" s="2144"/>
      <c r="L289" s="2229" t="s">
        <v>347</v>
      </c>
      <c r="M289" s="702"/>
      <c r="N289" s="695"/>
      <c r="O289" s="1990"/>
      <c r="P289" s="1990"/>
    </row>
    <row s="32343" customFormat="1" customHeight="1" ht="18.75" hidden="1">
      <c r="A290" s="2146"/>
      <c r="B290" s="2146"/>
      <c r="C290" s="730" t="s">
        <v>1118</v>
      </c>
      <c r="D290" s="2734"/>
      <c r="E290" s="2477"/>
      <c r="F290" s="2643"/>
      <c r="G290" s="2689"/>
      <c r="H290" s="1866"/>
      <c r="I290" s="1012" t="s">
        <v>1117</v>
      </c>
      <c r="J290" s="932"/>
      <c r="K290" s="1866"/>
      <c r="L290" s="575"/>
      <c r="M290" s="702"/>
      <c r="N290" s="695"/>
      <c r="O290" s="1990"/>
      <c r="P290" s="1990"/>
    </row>
    <row s="32343" customFormat="1" customHeight="1" ht="0.75" hidden="1">
      <c r="A291" s="2146"/>
      <c r="B291" s="2146"/>
      <c r="C291" s="730" t="s">
        <v>1125</v>
      </c>
      <c r="D291" s="2734"/>
      <c r="E291" s="2477"/>
      <c r="F291" s="2643"/>
      <c r="G291" s="761"/>
      <c r="H291" s="1866"/>
      <c r="I291" s="1012"/>
      <c r="J291" s="932"/>
      <c r="K291" s="1866"/>
      <c r="L291" s="575"/>
      <c r="M291" s="702"/>
      <c r="N291" s="695"/>
      <c r="O291" s="1990"/>
      <c r="P291" s="1990"/>
    </row>
    <row s="32343" customFormat="1" customHeight="1" ht="18.75" hidden="1">
      <c r="A292" s="2146" t="s">
        <v>197</v>
      </c>
      <c r="B292" s="2146" t="s">
        <v>198</v>
      </c>
      <c r="C292" s="730"/>
      <c r="D292" s="2734"/>
      <c r="E292" s="2477"/>
      <c r="F292" s="2643" t="str">
        <f>INDEX(PT_DIFFERENTIATION_VTAR,MATCH(A292,PT_DIFFERENTIATION_VTAR_ID,0))</f>
        <v>Плата за услуги по поддержанию резервной тепловой мощности при отсутствии потребления тепловой энергии</v>
      </c>
      <c r="G292" s="2689" t="str">
        <f>INDEX(PT_DIFFERENTIATION_NTAR,MATCH(B292,PT_DIFFERENTIATION_NTAR_ID,0))</f>
        <v/>
      </c>
      <c r="H292" s="2229"/>
      <c r="I292" s="2105"/>
      <c r="J292" s="2139"/>
      <c r="K292" s="2144"/>
      <c r="L292" s="2229" t="s">
        <v>347</v>
      </c>
      <c r="M292" s="702"/>
      <c r="N292" s="695"/>
      <c r="O292" s="1990"/>
      <c r="P292" s="1990"/>
    </row>
    <row s="32343" customFormat="1" customHeight="1" ht="18.75" hidden="1">
      <c r="A293" s="2146"/>
      <c r="B293" s="2146"/>
      <c r="C293" s="730" t="s">
        <v>1118</v>
      </c>
      <c r="D293" s="2734"/>
      <c r="E293" s="2477"/>
      <c r="F293" s="2643"/>
      <c r="G293" s="2689"/>
      <c r="H293" s="1866"/>
      <c r="I293" s="1012" t="s">
        <v>1117</v>
      </c>
      <c r="J293" s="932"/>
      <c r="K293" s="1866"/>
      <c r="L293" s="575"/>
      <c r="M293" s="702"/>
      <c r="N293" s="695"/>
      <c r="O293" s="1990"/>
      <c r="P293" s="1990"/>
    </row>
    <row s="32343" customFormat="1" customHeight="1" ht="0.75" hidden="1">
      <c r="A294" s="2146"/>
      <c r="B294" s="2146"/>
      <c r="C294" s="730" t="s">
        <v>1125</v>
      </c>
      <c r="D294" s="2734"/>
      <c r="E294" s="2477"/>
      <c r="F294" s="2643"/>
      <c r="G294" s="761"/>
      <c r="H294" s="1866"/>
      <c r="I294" s="1012"/>
      <c r="J294" s="932"/>
      <c r="K294" s="1866"/>
      <c r="L294" s="575"/>
      <c r="M294" s="702"/>
      <c r="N294" s="695"/>
      <c r="O294" s="1990"/>
      <c r="P294" s="1990"/>
    </row>
    <row s="32343" customFormat="1" customHeight="1" ht="18.75" hidden="1">
      <c r="A295" s="2146" t="s">
        <v>203</v>
      </c>
      <c r="B295" s="2146" t="s">
        <v>204</v>
      </c>
      <c r="C295" s="730"/>
      <c r="D295" s="2734"/>
      <c r="E295" s="2477"/>
      <c r="F295" s="2643" t="str">
        <f>INDEX(PT_DIFFERENTIATION_VTAR,MATCH(A295,PT_DIFFERENTIATION_VTAR_ID,0))</f>
        <v>Плата за подключение (технологическое присоединение) к системе теплоснабжения</v>
      </c>
      <c r="G295" s="2689" t="str">
        <f>INDEX(PT_DIFFERENTIATION_NTAR,MATCH(B295,PT_DIFFERENTIATION_NTAR_ID,0))</f>
        <v/>
      </c>
      <c r="H295" s="2229"/>
      <c r="I295" s="2105"/>
      <c r="J295" s="2139"/>
      <c r="K295" s="2144"/>
      <c r="L295" s="2229" t="s">
        <v>347</v>
      </c>
      <c r="M295" s="702"/>
      <c r="N295" s="695"/>
      <c r="O295" s="1990"/>
      <c r="P295" s="1990"/>
    </row>
    <row s="32343" customFormat="1" customHeight="1" ht="18.75" hidden="1">
      <c r="A296" s="2146"/>
      <c r="B296" s="2146"/>
      <c r="C296" s="730" t="s">
        <v>1118</v>
      </c>
      <c r="D296" s="2734"/>
      <c r="E296" s="2477"/>
      <c r="F296" s="2643"/>
      <c r="G296" s="2689"/>
      <c r="H296" s="1866"/>
      <c r="I296" s="1012" t="s">
        <v>1117</v>
      </c>
      <c r="J296" s="932"/>
      <c r="K296" s="1866"/>
      <c r="L296" s="575"/>
      <c r="M296" s="702"/>
      <c r="N296" s="695"/>
      <c r="O296" s="1990"/>
      <c r="P296" s="1990"/>
    </row>
    <row s="32343" customFormat="1" customHeight="1" ht="0.75" hidden="1">
      <c r="A297" s="2146"/>
      <c r="B297" s="2146"/>
      <c r="C297" s="730" t="s">
        <v>1125</v>
      </c>
      <c r="D297" s="2734"/>
      <c r="E297" s="2477"/>
      <c r="F297" s="2643"/>
      <c r="G297" s="761"/>
      <c r="H297" s="1866"/>
      <c r="I297" s="1012"/>
      <c r="J297" s="932"/>
      <c r="K297" s="1866"/>
      <c r="L297" s="575"/>
      <c r="M297" s="702"/>
      <c r="N297" s="695"/>
      <c r="O297" s="1990"/>
      <c r="P297" s="1990"/>
    </row>
    <row s="32343" customFormat="1" customHeight="1" ht="18.75" hidden="1">
      <c r="A298" s="2146" t="s">
        <v>229</v>
      </c>
      <c r="B298" s="2146" t="s">
        <v>230</v>
      </c>
      <c r="C298" s="730"/>
      <c r="D298" s="2734"/>
      <c r="E298" s="2477"/>
      <c r="F298" s="2643" t="str">
        <f>INDEX(PT_DIFFERENTIATION_VTAR,MATCH(A298,PT_DIFFERENTIATION_VTAR_ID,0))</f>
        <v>Тариф на питьевую воду (питьевое водоснабжение)</v>
      </c>
      <c r="G298" s="2689" t="str">
        <f>INDEX(PT_DIFFERENTIATION_NTAR,MATCH(B298,PT_DIFFERENTIATION_NTAR_ID,0))</f>
        <v/>
      </c>
      <c r="H298" s="2229"/>
      <c r="I298" s="2105"/>
      <c r="J298" s="2139"/>
      <c r="K298" s="2144"/>
      <c r="L298" s="2229" t="s">
        <v>347</v>
      </c>
      <c r="M298" s="702"/>
      <c r="N298" s="695"/>
      <c r="O298" s="1990"/>
      <c r="P298" s="1990"/>
    </row>
    <row s="32343" customFormat="1" customHeight="1" ht="18.75" hidden="1">
      <c r="A299" s="2146"/>
      <c r="B299" s="2146"/>
      <c r="C299" s="730" t="s">
        <v>1118</v>
      </c>
      <c r="D299" s="2734"/>
      <c r="E299" s="2477"/>
      <c r="F299" s="2643"/>
      <c r="G299" s="2689"/>
      <c r="H299" s="1866"/>
      <c r="I299" s="1012" t="s">
        <v>1117</v>
      </c>
      <c r="J299" s="932"/>
      <c r="K299" s="1866"/>
      <c r="L299" s="575"/>
      <c r="M299" s="702"/>
      <c r="N299" s="695"/>
      <c r="O299" s="1990"/>
      <c r="P299" s="1990"/>
    </row>
    <row s="32343" customFormat="1" customHeight="1" ht="0.75" hidden="1">
      <c r="A300" s="2146"/>
      <c r="B300" s="2146"/>
      <c r="C300" s="730" t="s">
        <v>1125</v>
      </c>
      <c r="D300" s="2734"/>
      <c r="E300" s="2477"/>
      <c r="F300" s="2643"/>
      <c r="G300" s="761"/>
      <c r="H300" s="1866"/>
      <c r="I300" s="1012"/>
      <c r="J300" s="932"/>
      <c r="K300" s="1866"/>
      <c r="L300" s="575"/>
      <c r="M300" s="702"/>
      <c r="N300" s="695"/>
      <c r="O300" s="1990"/>
      <c r="P300" s="1990"/>
    </row>
    <row s="32343" customFormat="1" customHeight="1" ht="18.75" hidden="1">
      <c r="A301" s="2146" t="s">
        <v>234</v>
      </c>
      <c r="B301" s="2146" t="s">
        <v>235</v>
      </c>
      <c r="C301" s="730"/>
      <c r="D301" s="2734"/>
      <c r="E301" s="2477"/>
      <c r="F301" s="2643" t="str">
        <f>INDEX(PT_DIFFERENTIATION_VTAR,MATCH(A301,PT_DIFFERENTIATION_VTAR_ID,0))</f>
        <v>Тариф на техническую воду</v>
      </c>
      <c r="G301" s="2689" t="str">
        <f>INDEX(PT_DIFFERENTIATION_NTAR,MATCH(B301,PT_DIFFERENTIATION_NTAR_ID,0))</f>
        <v/>
      </c>
      <c r="H301" s="2229"/>
      <c r="I301" s="2105"/>
      <c r="J301" s="2139"/>
      <c r="K301" s="2144"/>
      <c r="L301" s="2229" t="s">
        <v>347</v>
      </c>
      <c r="M301" s="702"/>
      <c r="N301" s="695"/>
      <c r="O301" s="1990"/>
      <c r="P301" s="1990"/>
    </row>
    <row s="32343" customFormat="1" customHeight="1" ht="18.75" hidden="1">
      <c r="A302" s="2146"/>
      <c r="B302" s="2146"/>
      <c r="C302" s="730" t="s">
        <v>1118</v>
      </c>
      <c r="D302" s="2734"/>
      <c r="E302" s="2477"/>
      <c r="F302" s="2643"/>
      <c r="G302" s="2689"/>
      <c r="H302" s="1866"/>
      <c r="I302" s="1012" t="s">
        <v>1117</v>
      </c>
      <c r="J302" s="932"/>
      <c r="K302" s="1866"/>
      <c r="L302" s="575"/>
      <c r="M302" s="702"/>
      <c r="N302" s="695"/>
      <c r="O302" s="1990"/>
      <c r="P302" s="1990"/>
    </row>
    <row s="32343" customFormat="1" customHeight="1" ht="0.75" hidden="1">
      <c r="A303" s="2146"/>
      <c r="B303" s="2146"/>
      <c r="C303" s="730" t="s">
        <v>1125</v>
      </c>
      <c r="D303" s="2734"/>
      <c r="E303" s="2477"/>
      <c r="F303" s="2643"/>
      <c r="G303" s="761"/>
      <c r="H303" s="1866"/>
      <c r="I303" s="1012"/>
      <c r="J303" s="932"/>
      <c r="K303" s="1866"/>
      <c r="L303" s="575"/>
      <c r="M303" s="702"/>
      <c r="N303" s="695"/>
      <c r="O303" s="1990"/>
      <c r="P303" s="1990"/>
    </row>
    <row s="32343" customFormat="1" customHeight="1" ht="18.75" hidden="1">
      <c r="A304" s="2146" t="s">
        <v>239</v>
      </c>
      <c r="B304" s="2146" t="s">
        <v>240</v>
      </c>
      <c r="C304" s="730"/>
      <c r="D304" s="2734"/>
      <c r="E304" s="2477"/>
      <c r="F304" s="2643" t="str">
        <f>INDEX(PT_DIFFERENTIATION_VTAR,MATCH(A304,PT_DIFFERENTIATION_VTAR_ID,0))</f>
        <v>Тариф на транспортировку воды</v>
      </c>
      <c r="G304" s="2689" t="str">
        <f>INDEX(PT_DIFFERENTIATION_NTAR,MATCH(B304,PT_DIFFERENTIATION_NTAR_ID,0))</f>
        <v/>
      </c>
      <c r="H304" s="2229"/>
      <c r="I304" s="2105"/>
      <c r="J304" s="2139"/>
      <c r="K304" s="2144"/>
      <c r="L304" s="2229" t="s">
        <v>347</v>
      </c>
      <c r="M304" s="702"/>
      <c r="N304" s="695"/>
      <c r="O304" s="1990"/>
      <c r="P304" s="1990"/>
    </row>
    <row s="32343" customFormat="1" customHeight="1" ht="18.75" hidden="1">
      <c r="A305" s="2146"/>
      <c r="B305" s="2146"/>
      <c r="C305" s="730" t="s">
        <v>1118</v>
      </c>
      <c r="D305" s="2734"/>
      <c r="E305" s="2477"/>
      <c r="F305" s="2643"/>
      <c r="G305" s="2689"/>
      <c r="H305" s="1866"/>
      <c r="I305" s="1012" t="s">
        <v>1117</v>
      </c>
      <c r="J305" s="932"/>
      <c r="K305" s="1866"/>
      <c r="L305" s="575"/>
      <c r="M305" s="702"/>
      <c r="N305" s="695"/>
      <c r="O305" s="1990"/>
      <c r="P305" s="1990"/>
    </row>
    <row s="32343" customFormat="1" customHeight="1" ht="0.75" hidden="1">
      <c r="A306" s="2146"/>
      <c r="B306" s="2146"/>
      <c r="C306" s="730" t="s">
        <v>1125</v>
      </c>
      <c r="D306" s="2734"/>
      <c r="E306" s="2477"/>
      <c r="F306" s="2643"/>
      <c r="G306" s="761"/>
      <c r="H306" s="1866"/>
      <c r="I306" s="1012"/>
      <c r="J306" s="932"/>
      <c r="K306" s="1866"/>
      <c r="L306" s="575"/>
      <c r="M306" s="702"/>
      <c r="N306" s="695"/>
      <c r="O306" s="1990"/>
      <c r="P306" s="1990"/>
    </row>
    <row s="32343" customFormat="1" customHeight="1" ht="18.75" hidden="1">
      <c r="A307" s="2146" t="s">
        <v>244</v>
      </c>
      <c r="B307" s="2146" t="s">
        <v>245</v>
      </c>
      <c r="C307" s="730"/>
      <c r="D307" s="2734"/>
      <c r="E307" s="2477"/>
      <c r="F307" s="2643" t="str">
        <f>INDEX(PT_DIFFERENTIATION_VTAR,MATCH(A307,PT_DIFFERENTIATION_VTAR_ID,0))</f>
        <v>Тариф на подвоз воды</v>
      </c>
      <c r="G307" s="2689" t="str">
        <f>INDEX(PT_DIFFERENTIATION_NTAR,MATCH(B307,PT_DIFFERENTIATION_NTAR_ID,0))</f>
        <v/>
      </c>
      <c r="H307" s="2229"/>
      <c r="I307" s="2105"/>
      <c r="J307" s="2139"/>
      <c r="K307" s="2144"/>
      <c r="L307" s="2229" t="s">
        <v>347</v>
      </c>
      <c r="M307" s="702"/>
      <c r="N307" s="695"/>
      <c r="O307" s="1990"/>
      <c r="P307" s="1990"/>
    </row>
    <row s="32343" customFormat="1" customHeight="1" ht="18.75" hidden="1">
      <c r="A308" s="2146"/>
      <c r="B308" s="2146"/>
      <c r="C308" s="730" t="s">
        <v>1118</v>
      </c>
      <c r="D308" s="2734"/>
      <c r="E308" s="2477"/>
      <c r="F308" s="2643"/>
      <c r="G308" s="2689"/>
      <c r="H308" s="1866"/>
      <c r="I308" s="1012" t="s">
        <v>1117</v>
      </c>
      <c r="J308" s="932"/>
      <c r="K308" s="1866"/>
      <c r="L308" s="575"/>
      <c r="M308" s="702"/>
      <c r="N308" s="695"/>
      <c r="O308" s="1990"/>
      <c r="P308" s="1990"/>
    </row>
    <row s="32343" customFormat="1" customHeight="1" ht="0.75" hidden="1">
      <c r="A309" s="2146"/>
      <c r="B309" s="2146"/>
      <c r="C309" s="730" t="s">
        <v>1125</v>
      </c>
      <c r="D309" s="2734"/>
      <c r="E309" s="2477"/>
      <c r="F309" s="2643"/>
      <c r="G309" s="761"/>
      <c r="H309" s="1866"/>
      <c r="I309" s="1012"/>
      <c r="J309" s="932"/>
      <c r="K309" s="1866"/>
      <c r="L309" s="575"/>
      <c r="M309" s="702"/>
      <c r="N309" s="695"/>
      <c r="O309" s="1990"/>
      <c r="P309" s="1990"/>
    </row>
    <row s="32343" customFormat="1" customHeight="1" ht="18.75" hidden="1">
      <c r="A310" s="2146" t="s">
        <v>249</v>
      </c>
      <c r="B310" s="2146" t="s">
        <v>250</v>
      </c>
      <c r="C310" s="730"/>
      <c r="D310" s="2734"/>
      <c r="E310" s="2477"/>
      <c r="F310" s="2643" t="str">
        <f>INDEX(PT_DIFFERENTIATION_VTAR,MATCH(A310,PT_DIFFERENTIATION_VTAR_ID,0))</f>
        <v>Тариф на подключение (технологическое присоединение) к централизованной системе холодного водоснабжения</v>
      </c>
      <c r="G310" s="2689" t="str">
        <f>INDEX(PT_DIFFERENTIATION_NTAR,MATCH(B310,PT_DIFFERENTIATION_NTAR_ID,0))</f>
        <v/>
      </c>
      <c r="H310" s="2229"/>
      <c r="I310" s="2105"/>
      <c r="J310" s="2139"/>
      <c r="K310" s="2144"/>
      <c r="L310" s="2229" t="s">
        <v>347</v>
      </c>
      <c r="M310" s="702"/>
      <c r="N310" s="695"/>
      <c r="O310" s="1990"/>
      <c r="P310" s="1990"/>
    </row>
    <row s="32343" customFormat="1" customHeight="1" ht="18.75" hidden="1">
      <c r="A311" s="2146"/>
      <c r="B311" s="2146"/>
      <c r="C311" s="730" t="s">
        <v>1118</v>
      </c>
      <c r="D311" s="2734"/>
      <c r="E311" s="2477"/>
      <c r="F311" s="2643"/>
      <c r="G311" s="2689"/>
      <c r="H311" s="1866"/>
      <c r="I311" s="1012" t="s">
        <v>1117</v>
      </c>
      <c r="J311" s="932"/>
      <c r="K311" s="1866"/>
      <c r="L311" s="575"/>
      <c r="M311" s="702"/>
      <c r="N311" s="695"/>
      <c r="O311" s="1990"/>
      <c r="P311" s="1990"/>
    </row>
    <row s="32343" customFormat="1" customHeight="1" ht="0.75" hidden="1">
      <c r="A312" s="2146"/>
      <c r="B312" s="2146"/>
      <c r="C312" s="730" t="s">
        <v>1125</v>
      </c>
      <c r="D312" s="2734"/>
      <c r="E312" s="2477"/>
      <c r="F312" s="2643"/>
      <c r="G312" s="761"/>
      <c r="H312" s="1866"/>
      <c r="I312" s="1012"/>
      <c r="J312" s="932"/>
      <c r="K312" s="1866"/>
      <c r="L312" s="575"/>
      <c r="M312" s="702"/>
      <c r="N312" s="695"/>
      <c r="O312" s="1990"/>
      <c r="P312" s="1990"/>
    </row>
    <row s="32343" customFormat="1" customHeight="1" ht="18.75" hidden="1">
      <c r="A313" s="2146" t="s">
        <v>258</v>
      </c>
      <c r="B313" s="2146" t="s">
        <v>259</v>
      </c>
      <c r="C313" s="730"/>
      <c r="D313" s="2734"/>
      <c r="E313" s="2477"/>
      <c r="F313" s="2643" t="str">
        <f>INDEX(PT_DIFFERENTIATION_VTAR,MATCH(A313,PT_DIFFERENTIATION_VTAR_ID,0))</f>
        <v>Тариф на горячую воду (горячее водоснабжение)</v>
      </c>
      <c r="G313" s="2689" t="str">
        <f>INDEX(PT_DIFFERENTIATION_NTAR,MATCH(B313,PT_DIFFERENTIATION_NTAR_ID,0))</f>
        <v>Тариф на горячую воду в закрытой системе горячего водоснабжения, поставляемую потребителям</v>
      </c>
      <c r="H313" s="2229"/>
      <c r="I313" s="2105"/>
      <c r="J313" s="2139"/>
      <c r="K313" s="2144"/>
      <c r="L313" s="2229" t="s">
        <v>347</v>
      </c>
      <c r="M313" s="702"/>
      <c r="N313" s="695"/>
      <c r="O313" s="1990"/>
      <c r="P313" s="1990"/>
    </row>
    <row s="32343" customFormat="1" customHeight="1" ht="18.75" hidden="1">
      <c r="A314" s="2146"/>
      <c r="B314" s="2146"/>
      <c r="C314" s="730" t="s">
        <v>1118</v>
      </c>
      <c r="D314" s="2734"/>
      <c r="E314" s="2477"/>
      <c r="F314" s="2643"/>
      <c r="G314" s="2689"/>
      <c r="H314" s="1866"/>
      <c r="I314" s="1012" t="s">
        <v>1117</v>
      </c>
      <c r="J314" s="932"/>
      <c r="K314" s="1866"/>
      <c r="L314" s="575"/>
      <c r="M314" s="702"/>
      <c r="N314" s="695"/>
      <c r="O314" s="1990"/>
      <c r="P314" s="1990"/>
    </row>
    <row s="37389" customFormat="1" customHeight="1" ht="18.75">
      <c r="A315" s="7451" t="s">
        <v>258</v>
      </c>
      <c r="B315" s="7451" t="s">
        <v>273</v>
      </c>
      <c r="C315" s="10694"/>
      <c r="D315" s="10695"/>
      <c r="E315" s="10696"/>
      <c r="F315" s="10696"/>
      <c r="G315" s="10697" t="str">
        <f>INDEX(PT_DIFFERENTIATION_NTAR,MATCH(B315,PT_DIFFERENTIATION_NTAR_ID,0))</f>
        <v>Тариф на горячую воду в закрытой системе горячего водоснабжения, поставляемую группе потребителей "население"</v>
      </c>
      <c r="H315" s="6911"/>
      <c r="I315" s="10698"/>
      <c r="J315" s="10699"/>
      <c r="K315" s="10716"/>
      <c r="L315" s="6911" t="s">
        <v>347</v>
      </c>
      <c r="M315" s="10701"/>
      <c r="N315" s="10702"/>
      <c r="O315" s="7194"/>
      <c r="P315" s="7194"/>
      <c r="Q315" s="6601"/>
      <c r="R315" s="6601"/>
      <c r="S315" s="6601"/>
      <c r="T315" s="6601"/>
      <c r="U315" s="6601"/>
      <c r="V315" s="6601"/>
      <c r="W315" s="6601"/>
      <c r="X315" s="6601"/>
      <c r="Y315" s="6601"/>
      <c r="Z315" s="6601"/>
      <c r="AA315" s="6601"/>
      <c r="AB315" s="6601"/>
      <c r="AC315" s="6601"/>
      <c r="AD315" s="6601"/>
      <c r="AE315" s="6601"/>
      <c r="AF315" s="6601"/>
      <c r="AG315" s="6601"/>
    </row>
    <row s="37389" customFormat="1" customHeight="1" ht="18.75">
      <c r="A316" s="7451"/>
      <c r="B316" s="7451"/>
      <c r="C316" s="10694" t="s">
        <v>1118</v>
      </c>
      <c r="D316" s="10695"/>
      <c r="E316" s="10696"/>
      <c r="F316" s="10696"/>
      <c r="G316" s="10697"/>
      <c r="H316" s="10747"/>
      <c r="I316" s="10748" t="s">
        <v>1117</v>
      </c>
      <c r="J316" s="10749"/>
      <c r="K316" s="10750"/>
      <c r="L316" s="10751"/>
      <c r="M316" s="10701"/>
      <c r="N316" s="10702"/>
      <c r="O316" s="7194"/>
      <c r="P316" s="7194"/>
      <c r="Q316" s="6601"/>
      <c r="R316" s="6601"/>
      <c r="S316" s="6601"/>
      <c r="T316" s="6601"/>
      <c r="U316" s="6601"/>
      <c r="V316" s="6601"/>
      <c r="W316" s="6601"/>
      <c r="X316" s="6601"/>
      <c r="Y316" s="6601"/>
      <c r="Z316" s="6601"/>
      <c r="AA316" s="6601"/>
      <c r="AB316" s="6601"/>
      <c r="AC316" s="6601"/>
      <c r="AD316" s="6601"/>
      <c r="AE316" s="6601"/>
      <c r="AF316" s="6601"/>
      <c r="AG316" s="6601"/>
    </row>
    <row s="37389" customFormat="1" customHeight="1" ht="18.75">
      <c r="A317" s="7451" t="s">
        <v>258</v>
      </c>
      <c r="B317" s="7451" t="s">
        <v>284</v>
      </c>
      <c r="C317" s="10694"/>
      <c r="D317" s="10695"/>
      <c r="E317" s="10696"/>
      <c r="F317" s="10696"/>
      <c r="G317" s="10697" t="str">
        <f>INDEX(PT_DIFFERENTIATION_NTAR,MATCH(B317,PT_DIFFERENTIATION_NTAR_ID,0))</f>
        <v>Тариф на горячую воду в закрытой системе горячего водоснабжения, поставляемую группе потребителей "потребители (кроме населения)"</v>
      </c>
      <c r="H317" s="6911"/>
      <c r="I317" s="10698"/>
      <c r="J317" s="10699"/>
      <c r="K317" s="10716"/>
      <c r="L317" s="6911" t="s">
        <v>347</v>
      </c>
      <c r="M317" s="10701"/>
      <c r="N317" s="10702"/>
      <c r="O317" s="7194"/>
      <c r="P317" s="7194"/>
      <c r="Q317" s="6601"/>
      <c r="R317" s="6601"/>
      <c r="S317" s="6601"/>
      <c r="T317" s="6601"/>
      <c r="U317" s="6601"/>
      <c r="V317" s="6601"/>
      <c r="W317" s="6601"/>
      <c r="X317" s="6601"/>
      <c r="Y317" s="6601"/>
      <c r="Z317" s="6601"/>
      <c r="AA317" s="6601"/>
      <c r="AB317" s="6601"/>
      <c r="AC317" s="6601"/>
      <c r="AD317" s="6601"/>
      <c r="AE317" s="6601"/>
      <c r="AF317" s="6601"/>
      <c r="AG317" s="6601"/>
    </row>
    <row s="37389" customFormat="1" customHeight="1" ht="18.75">
      <c r="A318" s="7451"/>
      <c r="B318" s="7451"/>
      <c r="C318" s="10694" t="s">
        <v>1118</v>
      </c>
      <c r="D318" s="10695"/>
      <c r="E318" s="10696"/>
      <c r="F318" s="10696"/>
      <c r="G318" s="10697"/>
      <c r="H318" s="10752"/>
      <c r="I318" s="10753" t="s">
        <v>1117</v>
      </c>
      <c r="J318" s="10754"/>
      <c r="K318" s="10755"/>
      <c r="L318" s="10756"/>
      <c r="M318" s="10701"/>
      <c r="N318" s="10702"/>
      <c r="O318" s="7194"/>
      <c r="P318" s="7194"/>
      <c r="Q318" s="6601"/>
      <c r="R318" s="6601"/>
      <c r="S318" s="6601"/>
      <c r="T318" s="6601"/>
      <c r="U318" s="6601"/>
      <c r="V318" s="6601"/>
      <c r="W318" s="6601"/>
      <c r="X318" s="6601"/>
      <c r="Y318" s="6601"/>
      <c r="Z318" s="6601"/>
      <c r="AA318" s="6601"/>
      <c r="AB318" s="6601"/>
      <c r="AC318" s="6601"/>
      <c r="AD318" s="6601"/>
      <c r="AE318" s="6601"/>
      <c r="AF318" s="6601"/>
      <c r="AG318" s="6601"/>
    </row>
    <row s="32343" customFormat="1" customHeight="1" ht="0.75" hidden="1">
      <c r="A319" s="2146"/>
      <c r="B319" s="2146"/>
      <c r="C319" s="730" t="s">
        <v>1125</v>
      </c>
      <c r="D319" s="2734"/>
      <c r="E319" s="2477"/>
      <c r="F319" s="2643"/>
      <c r="G319" s="761"/>
      <c r="H319" s="1866"/>
      <c r="I319" s="1012"/>
      <c r="J319" s="932"/>
      <c r="K319" s="1866"/>
      <c r="L319" s="575"/>
      <c r="M319" s="702"/>
      <c r="N319" s="695"/>
      <c r="O319" s="1990"/>
      <c r="P319" s="1990"/>
    </row>
    <row s="32343" customFormat="1" customHeight="1" ht="18.75" hidden="1">
      <c r="A320" s="2146" t="s">
        <v>296</v>
      </c>
      <c r="B320" s="2146" t="s">
        <v>297</v>
      </c>
      <c r="C320" s="730"/>
      <c r="D320" s="2734"/>
      <c r="E320" s="2477"/>
      <c r="F320" s="2643" t="str">
        <f>INDEX(PT_DIFFERENTIATION_VTAR,MATCH(A320,PT_DIFFERENTIATION_VTAR_ID,0))</f>
        <v>Тариф на транспортировку горячей воды</v>
      </c>
      <c r="G320" s="2689" t="str">
        <f>INDEX(PT_DIFFERENTIATION_NTAR,MATCH(B320,PT_DIFFERENTIATION_NTAR_ID,0))</f>
        <v/>
      </c>
      <c r="H320" s="2229"/>
      <c r="I320" s="2105"/>
      <c r="J320" s="2139"/>
      <c r="K320" s="2144"/>
      <c r="L320" s="2229" t="s">
        <v>347</v>
      </c>
      <c r="M320" s="702"/>
      <c r="N320" s="695"/>
      <c r="O320" s="1990"/>
      <c r="P320" s="1990"/>
    </row>
    <row s="32343" customFormat="1" customHeight="1" ht="18.75" hidden="1">
      <c r="A321" s="2146"/>
      <c r="B321" s="2146"/>
      <c r="C321" s="730" t="s">
        <v>1118</v>
      </c>
      <c r="D321" s="2734"/>
      <c r="E321" s="2477"/>
      <c r="F321" s="2643"/>
      <c r="G321" s="2689"/>
      <c r="H321" s="1866"/>
      <c r="I321" s="1012" t="s">
        <v>1117</v>
      </c>
      <c r="J321" s="932"/>
      <c r="K321" s="1866"/>
      <c r="L321" s="575"/>
      <c r="M321" s="702"/>
      <c r="N321" s="695"/>
      <c r="O321" s="1990"/>
      <c r="P321" s="1990"/>
    </row>
    <row s="32343" customFormat="1" customHeight="1" ht="0.75" hidden="1">
      <c r="A322" s="2146"/>
      <c r="B322" s="2146"/>
      <c r="C322" s="730" t="s">
        <v>1125</v>
      </c>
      <c r="D322" s="2734"/>
      <c r="E322" s="2477"/>
      <c r="F322" s="2643"/>
      <c r="G322" s="761"/>
      <c r="H322" s="1866"/>
      <c r="I322" s="1012"/>
      <c r="J322" s="932"/>
      <c r="K322" s="1866"/>
      <c r="L322" s="575"/>
      <c r="M322" s="702"/>
      <c r="N322" s="695"/>
      <c r="O322" s="1990"/>
      <c r="P322" s="1990"/>
    </row>
    <row s="32343" customFormat="1" customHeight="1" ht="18.75" hidden="1">
      <c r="A323" s="2146" t="s">
        <v>301</v>
      </c>
      <c r="B323" s="2146" t="s">
        <v>302</v>
      </c>
      <c r="C323" s="730"/>
      <c r="D323" s="2734"/>
      <c r="E323" s="2477"/>
      <c r="F323" s="2643" t="str">
        <f>INDEX(PT_DIFFERENTIATION_VTAR,MATCH(A323,PT_DIFFERENTIATION_VTAR_ID,0))</f>
        <v>Тариф на подключение (технологическое присоединение) к централизованной системе горячего водоснабжения</v>
      </c>
      <c r="G323" s="2689" t="str">
        <f>INDEX(PT_DIFFERENTIATION_NTAR,MATCH(B323,PT_DIFFERENTIATION_NTAR_ID,0))</f>
        <v/>
      </c>
      <c r="H323" s="2229"/>
      <c r="I323" s="2105"/>
      <c r="J323" s="2139"/>
      <c r="K323" s="2144"/>
      <c r="L323" s="2229" t="s">
        <v>347</v>
      </c>
      <c r="M323" s="702"/>
      <c r="N323" s="695"/>
      <c r="O323" s="1990"/>
      <c r="P323" s="1990"/>
    </row>
    <row s="32343" customFormat="1" customHeight="1" ht="18.75" hidden="1">
      <c r="A324" s="2146"/>
      <c r="B324" s="2146"/>
      <c r="C324" s="730" t="s">
        <v>1118</v>
      </c>
      <c r="D324" s="2734"/>
      <c r="E324" s="2477"/>
      <c r="F324" s="2643"/>
      <c r="G324" s="2689"/>
      <c r="H324" s="1866"/>
      <c r="I324" s="1012" t="s">
        <v>1117</v>
      </c>
      <c r="J324" s="932"/>
      <c r="K324" s="1866"/>
      <c r="L324" s="575"/>
      <c r="M324" s="702"/>
      <c r="N324" s="695"/>
      <c r="O324" s="1990"/>
      <c r="P324" s="1990"/>
    </row>
    <row s="32343" customFormat="1" customHeight="1" ht="0.75" hidden="1">
      <c r="A325" s="2146"/>
      <c r="B325" s="2146"/>
      <c r="C325" s="730" t="s">
        <v>1125</v>
      </c>
      <c r="D325" s="2734"/>
      <c r="E325" s="2477"/>
      <c r="F325" s="2643"/>
      <c r="G325" s="761"/>
      <c r="H325" s="1866"/>
      <c r="I325" s="1012"/>
      <c r="J325" s="932"/>
      <c r="K325" s="1866"/>
      <c r="L325" s="575"/>
      <c r="M325" s="702"/>
      <c r="N325" s="695"/>
      <c r="O325" s="1990"/>
      <c r="P325" s="1990"/>
    </row>
    <row s="32343" customFormat="1" customHeight="1" ht="18.75" hidden="1">
      <c r="A326" s="2146" t="s">
        <v>306</v>
      </c>
      <c r="B326" s="2146" t="s">
        <v>307</v>
      </c>
      <c r="C326" s="730"/>
      <c r="D326" s="2734"/>
      <c r="E326" s="2477"/>
      <c r="F326" s="2643" t="str">
        <f>INDEX(PT_DIFFERENTIATION_VTAR,MATCH(A326,PT_DIFFERENTIATION_VTAR_ID,0))</f>
        <v>Тариф на водоотведение</v>
      </c>
      <c r="G326" s="2689" t="str">
        <f>INDEX(PT_DIFFERENTIATION_NTAR,MATCH(B326,PT_DIFFERENTIATION_NTAR_ID,0))</f>
        <v/>
      </c>
      <c r="H326" s="2229"/>
      <c r="I326" s="2105"/>
      <c r="J326" s="2139"/>
      <c r="K326" s="2144"/>
      <c r="L326" s="2229" t="s">
        <v>347</v>
      </c>
      <c r="M326" s="702"/>
      <c r="N326" s="695"/>
      <c r="O326" s="1990"/>
      <c r="P326" s="1990"/>
    </row>
    <row s="32343" customFormat="1" customHeight="1" ht="18.75" hidden="1">
      <c r="A327" s="2146"/>
      <c r="B327" s="2146"/>
      <c r="C327" s="730" t="s">
        <v>1118</v>
      </c>
      <c r="D327" s="2734"/>
      <c r="E327" s="2477"/>
      <c r="F327" s="2643"/>
      <c r="G327" s="2689"/>
      <c r="H327" s="1866"/>
      <c r="I327" s="1012" t="s">
        <v>1117</v>
      </c>
      <c r="J327" s="932"/>
      <c r="K327" s="1866"/>
      <c r="L327" s="575"/>
      <c r="M327" s="702"/>
      <c r="N327" s="695"/>
      <c r="O327" s="1990"/>
      <c r="P327" s="1990"/>
    </row>
    <row s="32343" customFormat="1" customHeight="1" ht="0.75" hidden="1">
      <c r="A328" s="2146"/>
      <c r="B328" s="2146"/>
      <c r="C328" s="730" t="s">
        <v>1125</v>
      </c>
      <c r="D328" s="2734"/>
      <c r="E328" s="2477"/>
      <c r="F328" s="2643"/>
      <c r="G328" s="761"/>
      <c r="H328" s="1866"/>
      <c r="I328" s="1012"/>
      <c r="J328" s="932"/>
      <c r="K328" s="1866"/>
      <c r="L328" s="575"/>
      <c r="M328" s="702"/>
      <c r="N328" s="695"/>
      <c r="O328" s="1990"/>
      <c r="P328" s="1990"/>
    </row>
    <row s="32343" customFormat="1" customHeight="1" ht="18.75" hidden="1">
      <c r="A329" s="2146" t="s">
        <v>311</v>
      </c>
      <c r="B329" s="2146" t="s">
        <v>312</v>
      </c>
      <c r="C329" s="730"/>
      <c r="D329" s="2734"/>
      <c r="E329" s="2477"/>
      <c r="F329" s="2643" t="str">
        <f>INDEX(PT_DIFFERENTIATION_VTAR,MATCH(A329,PT_DIFFERENTIATION_VTAR_ID,0))</f>
        <v>Тариф на транспортировку сточных вод</v>
      </c>
      <c r="G329" s="2689" t="str">
        <f>INDEX(PT_DIFFERENTIATION_NTAR,MATCH(B329,PT_DIFFERENTIATION_NTAR_ID,0))</f>
        <v/>
      </c>
      <c r="H329" s="2229"/>
      <c r="I329" s="2105"/>
      <c r="J329" s="2139"/>
      <c r="K329" s="2144"/>
      <c r="L329" s="2229" t="s">
        <v>347</v>
      </c>
      <c r="M329" s="702"/>
      <c r="N329" s="695"/>
      <c r="O329" s="1990"/>
      <c r="P329" s="1990"/>
    </row>
    <row s="32343" customFormat="1" customHeight="1" ht="18.75" hidden="1">
      <c r="A330" s="2146"/>
      <c r="B330" s="2146"/>
      <c r="C330" s="730" t="s">
        <v>1118</v>
      </c>
      <c r="D330" s="2734"/>
      <c r="E330" s="2477"/>
      <c r="F330" s="2643"/>
      <c r="G330" s="2689"/>
      <c r="H330" s="1866"/>
      <c r="I330" s="1012" t="s">
        <v>1117</v>
      </c>
      <c r="J330" s="932"/>
      <c r="K330" s="1866"/>
      <c r="L330" s="575"/>
      <c r="M330" s="702"/>
      <c r="N330" s="695"/>
      <c r="O330" s="1990"/>
      <c r="P330" s="1990"/>
    </row>
    <row s="32343" customFormat="1" customHeight="1" ht="0.75" hidden="1">
      <c r="A331" s="2146"/>
      <c r="B331" s="2146"/>
      <c r="C331" s="730" t="s">
        <v>1125</v>
      </c>
      <c r="D331" s="2734"/>
      <c r="E331" s="2477"/>
      <c r="F331" s="2643"/>
      <c r="G331" s="761"/>
      <c r="H331" s="1866"/>
      <c r="I331" s="1012"/>
      <c r="J331" s="932"/>
      <c r="K331" s="1866"/>
      <c r="L331" s="575"/>
      <c r="M331" s="702"/>
      <c r="N331" s="695"/>
      <c r="O331" s="1990"/>
      <c r="P331" s="1990"/>
    </row>
    <row s="32343" customFormat="1" customHeight="1" ht="18.75" hidden="1">
      <c r="A332" s="2146" t="s">
        <v>316</v>
      </c>
      <c r="B332" s="2146" t="s">
        <v>317</v>
      </c>
      <c r="C332" s="730"/>
      <c r="D332" s="2734"/>
      <c r="E332" s="2477"/>
      <c r="F332" s="2643" t="str">
        <f>INDEX(PT_DIFFERENTIATION_VTAR,MATCH(A332,PT_DIFFERENTIATION_VTAR_ID,0))</f>
        <v>Тариф на подключение (технологическое присоединение) к централизованной системе водоотведения</v>
      </c>
      <c r="G332" s="2689" t="str">
        <f>INDEX(PT_DIFFERENTIATION_NTAR,MATCH(B332,PT_DIFFERENTIATION_NTAR_ID,0))</f>
        <v/>
      </c>
      <c r="H332" s="2229"/>
      <c r="I332" s="2105"/>
      <c r="J332" s="2139"/>
      <c r="K332" s="2144"/>
      <c r="L332" s="2229" t="s">
        <v>347</v>
      </c>
      <c r="M332" s="702"/>
      <c r="N332" s="695"/>
      <c r="O332" s="1990"/>
      <c r="P332" s="1990"/>
    </row>
    <row s="32343" customFormat="1" customHeight="1" ht="18.75" hidden="1">
      <c r="A333" s="2146"/>
      <c r="B333" s="2146"/>
      <c r="C333" s="730" t="s">
        <v>1118</v>
      </c>
      <c r="D333" s="2734"/>
      <c r="E333" s="2477"/>
      <c r="F333" s="2643"/>
      <c r="G333" s="2689"/>
      <c r="H333" s="1866"/>
      <c r="I333" s="1012" t="s">
        <v>1117</v>
      </c>
      <c r="J333" s="932"/>
      <c r="K333" s="1866"/>
      <c r="L333" s="575"/>
      <c r="M333" s="702"/>
      <c r="N333" s="695"/>
      <c r="O333" s="1990"/>
      <c r="P333" s="1990"/>
    </row>
    <row s="32343" customFormat="1" customHeight="1" ht="0.75">
      <c r="A334" s="2146"/>
      <c r="B334" s="2146"/>
      <c r="C334" s="730" t="s">
        <v>1125</v>
      </c>
      <c r="D334" s="2734"/>
      <c r="E334" s="2477"/>
      <c r="F334" s="2643"/>
      <c r="G334" s="761"/>
      <c r="H334" s="1866"/>
      <c r="I334" s="1012"/>
      <c r="J334" s="932"/>
      <c r="K334" s="1866"/>
      <c r="L334" s="575"/>
      <c r="M334" s="702"/>
      <c r="N334" s="695"/>
      <c r="O334" s="1990"/>
      <c r="P334" s="1990"/>
    </row>
    <row s="37356" customFormat="1" customHeight="1" ht="3">
      <c r="A335" s="2146"/>
      <c r="B335" s="2146"/>
      <c r="C335" s="2147"/>
      <c r="E335" s="763"/>
      <c r="F335" s="763"/>
      <c r="G335" s="763"/>
      <c r="H335" s="763"/>
      <c r="I335" s="763"/>
      <c r="J335" s="763"/>
      <c r="K335" s="763"/>
      <c r="L335" s="763"/>
      <c r="M335" s="763"/>
      <c r="O335" s="557"/>
      <c r="P335" s="557"/>
    </row>
    <row customHeight="1" ht="24.75">
      <c r="E336" s="563"/>
      <c r="F336" s="2526"/>
      <c r="G336" s="2526"/>
      <c r="H336" s="2526"/>
      <c r="I336" s="2526"/>
      <c r="J336" s="2526"/>
      <c r="K336" s="2526"/>
      <c r="L336" s="2526"/>
      <c r="M336" s="2526"/>
    </row>
  </sheetData>
  <sheetProtection formatColumns="0" formatRows="0" autoFilter="0" sort="0" insertRows="0" insertColumns="1" deleteRows="0" deleteColumns="0"/>
  <mergeCells count="418">
    <mergeCell ref="G320:G321"/>
    <mergeCell ref="G323:G324"/>
    <mergeCell ref="G326:G327"/>
    <mergeCell ref="G329:G330"/>
    <mergeCell ref="G332:G333"/>
    <mergeCell ref="G274:G275"/>
    <mergeCell ref="G277:G278"/>
    <mergeCell ref="G280:G281"/>
    <mergeCell ref="G283:G284"/>
    <mergeCell ref="G286:G287"/>
    <mergeCell ref="G289:G290"/>
    <mergeCell ref="G292:G293"/>
    <mergeCell ref="G295:G296"/>
    <mergeCell ref="G298:G299"/>
    <mergeCell ref="G91:G92"/>
    <mergeCell ref="G94:G95"/>
    <mergeCell ref="G97:G98"/>
    <mergeCell ref="G100:G101"/>
    <mergeCell ref="G103:G104"/>
    <mergeCell ref="G106:G107"/>
    <mergeCell ref="G109:G110"/>
    <mergeCell ref="G112:G113"/>
    <mergeCell ref="G115:G116"/>
    <mergeCell ref="G57:G58"/>
    <mergeCell ref="G60:G61"/>
    <mergeCell ref="G63:G64"/>
    <mergeCell ref="G70:G71"/>
    <mergeCell ref="G73:G74"/>
    <mergeCell ref="G76:G77"/>
    <mergeCell ref="G79:G80"/>
    <mergeCell ref="G82:G83"/>
    <mergeCell ref="G88:G89"/>
    <mergeCell ref="D332:D334"/>
    <mergeCell ref="E332:E334"/>
    <mergeCell ref="F332:F334"/>
    <mergeCell ref="M274:M277"/>
    <mergeCell ref="D326:D328"/>
    <mergeCell ref="E326:E328"/>
    <mergeCell ref="F326:F328"/>
    <mergeCell ref="D329:D331"/>
    <mergeCell ref="E329:E331"/>
    <mergeCell ref="F329:F331"/>
    <mergeCell ref="D320:D322"/>
    <mergeCell ref="E320:E322"/>
    <mergeCell ref="F320:F322"/>
    <mergeCell ref="D323:D325"/>
    <mergeCell ref="E323:E325"/>
    <mergeCell ref="F323:F325"/>
    <mergeCell ref="D310:D312"/>
    <mergeCell ref="E310:E312"/>
    <mergeCell ref="F310:F312"/>
    <mergeCell ref="D313:D319"/>
    <mergeCell ref="E313:E319"/>
    <mergeCell ref="F313:F319"/>
    <mergeCell ref="D304:D306"/>
    <mergeCell ref="E304:E306"/>
    <mergeCell ref="F304:F306"/>
    <mergeCell ref="D307:D309"/>
    <mergeCell ref="E307:E309"/>
    <mergeCell ref="F307:F309"/>
    <mergeCell ref="G304:G305"/>
    <mergeCell ref="G307:G308"/>
    <mergeCell ref="G310:G311"/>
    <mergeCell ref="G313:G314"/>
    <mergeCell ref="F283:F285"/>
    <mergeCell ref="D298:D300"/>
    <mergeCell ref="E298:E300"/>
    <mergeCell ref="F298:F300"/>
    <mergeCell ref="D301:D303"/>
    <mergeCell ref="E301:E303"/>
    <mergeCell ref="F301:F303"/>
    <mergeCell ref="D292:D294"/>
    <mergeCell ref="E292:E294"/>
    <mergeCell ref="F292:F294"/>
    <mergeCell ref="D295:D297"/>
    <mergeCell ref="E295:E297"/>
    <mergeCell ref="F295:F297"/>
    <mergeCell ref="G301:G302"/>
    <mergeCell ref="G261:G262"/>
    <mergeCell ref="G264:G265"/>
    <mergeCell ref="G267:G268"/>
    <mergeCell ref="G270:G271"/>
    <mergeCell ref="D251:D257"/>
    <mergeCell ref="E251:E257"/>
    <mergeCell ref="F251:F257"/>
    <mergeCell ref="D258:D260"/>
    <mergeCell ref="E258:E260"/>
    <mergeCell ref="F258:F260"/>
    <mergeCell ref="G258:G259"/>
    <mergeCell ref="D267:D269"/>
    <mergeCell ref="E267:E269"/>
    <mergeCell ref="F267:F269"/>
    <mergeCell ref="D270:D272"/>
    <mergeCell ref="E270:E272"/>
    <mergeCell ref="F270:F272"/>
    <mergeCell ref="D261:D263"/>
    <mergeCell ref="E261:E263"/>
    <mergeCell ref="F261:F263"/>
    <mergeCell ref="D264:D266"/>
    <mergeCell ref="E264:E266"/>
    <mergeCell ref="F264:F266"/>
    <mergeCell ref="D245:D247"/>
    <mergeCell ref="E245:E247"/>
    <mergeCell ref="F245:F247"/>
    <mergeCell ref="D248:D250"/>
    <mergeCell ref="E248:E250"/>
    <mergeCell ref="F248:F250"/>
    <mergeCell ref="G245:G246"/>
    <mergeCell ref="G248:G249"/>
    <mergeCell ref="G251:G252"/>
    <mergeCell ref="G233:G234"/>
    <mergeCell ref="G236:G237"/>
    <mergeCell ref="G239:G240"/>
    <mergeCell ref="G242:G243"/>
    <mergeCell ref="D227:D229"/>
    <mergeCell ref="E227:E229"/>
    <mergeCell ref="F227:F229"/>
    <mergeCell ref="D230:D232"/>
    <mergeCell ref="E230:E232"/>
    <mergeCell ref="F230:F232"/>
    <mergeCell ref="G230:G231"/>
    <mergeCell ref="D239:D241"/>
    <mergeCell ref="E239:E241"/>
    <mergeCell ref="F239:F241"/>
    <mergeCell ref="D242:D244"/>
    <mergeCell ref="E242:E244"/>
    <mergeCell ref="F242:F244"/>
    <mergeCell ref="D233:D235"/>
    <mergeCell ref="E233:E235"/>
    <mergeCell ref="F233:F235"/>
    <mergeCell ref="D236:D238"/>
    <mergeCell ref="E236:E238"/>
    <mergeCell ref="F236:F238"/>
    <mergeCell ref="D221:D223"/>
    <mergeCell ref="E221:E223"/>
    <mergeCell ref="F221:F223"/>
    <mergeCell ref="D224:D226"/>
    <mergeCell ref="E224:E226"/>
    <mergeCell ref="F224:F226"/>
    <mergeCell ref="G221:G222"/>
    <mergeCell ref="G224:G225"/>
    <mergeCell ref="G227:G228"/>
    <mergeCell ref="G202:G203"/>
    <mergeCell ref="G208:G209"/>
    <mergeCell ref="G212:G213"/>
    <mergeCell ref="G215:G216"/>
    <mergeCell ref="G218:G219"/>
    <mergeCell ref="D202:D204"/>
    <mergeCell ref="E202:E204"/>
    <mergeCell ref="F202:F204"/>
    <mergeCell ref="D205:D207"/>
    <mergeCell ref="E205:E207"/>
    <mergeCell ref="F205:F207"/>
    <mergeCell ref="G205:G206"/>
    <mergeCell ref="D215:D217"/>
    <mergeCell ref="E215:E217"/>
    <mergeCell ref="F215:F217"/>
    <mergeCell ref="D218:D220"/>
    <mergeCell ref="E218:E220"/>
    <mergeCell ref="F218:F220"/>
    <mergeCell ref="D208:D210"/>
    <mergeCell ref="E208:E210"/>
    <mergeCell ref="F208:F210"/>
    <mergeCell ref="D212:D214"/>
    <mergeCell ref="E212:E214"/>
    <mergeCell ref="F212:F214"/>
    <mergeCell ref="E183:E185"/>
    <mergeCell ref="F183:F185"/>
    <mergeCell ref="D196:D198"/>
    <mergeCell ref="E196:E198"/>
    <mergeCell ref="F196:F198"/>
    <mergeCell ref="D199:D201"/>
    <mergeCell ref="E199:E201"/>
    <mergeCell ref="F199:F201"/>
    <mergeCell ref="G196:G197"/>
    <mergeCell ref="G199:G200"/>
    <mergeCell ref="G168:G169"/>
    <mergeCell ref="G171:G172"/>
    <mergeCell ref="G174:G175"/>
    <mergeCell ref="G180:G181"/>
    <mergeCell ref="G183:G184"/>
    <mergeCell ref="G186:G187"/>
    <mergeCell ref="G189:G190"/>
    <mergeCell ref="D174:D176"/>
    <mergeCell ref="E174:E176"/>
    <mergeCell ref="F174:F176"/>
    <mergeCell ref="D177:D179"/>
    <mergeCell ref="E177:E179"/>
    <mergeCell ref="F177:F179"/>
    <mergeCell ref="G177:G178"/>
    <mergeCell ref="D186:D188"/>
    <mergeCell ref="E186:E188"/>
    <mergeCell ref="F186:F188"/>
    <mergeCell ref="D189:D195"/>
    <mergeCell ref="E189:E195"/>
    <mergeCell ref="F189:F195"/>
    <mergeCell ref="D180:D182"/>
    <mergeCell ref="E180:E182"/>
    <mergeCell ref="F180:F182"/>
    <mergeCell ref="D183:D185"/>
    <mergeCell ref="E156:E158"/>
    <mergeCell ref="F156:F158"/>
    <mergeCell ref="D159:D161"/>
    <mergeCell ref="E159:E161"/>
    <mergeCell ref="F159:F161"/>
    <mergeCell ref="D168:D170"/>
    <mergeCell ref="E168:E170"/>
    <mergeCell ref="F168:F170"/>
    <mergeCell ref="D171:D173"/>
    <mergeCell ref="E171:E173"/>
    <mergeCell ref="F171:F173"/>
    <mergeCell ref="G165:G166"/>
    <mergeCell ref="D153:D155"/>
    <mergeCell ref="E153:E155"/>
    <mergeCell ref="F153:F155"/>
    <mergeCell ref="D143:D145"/>
    <mergeCell ref="E143:E145"/>
    <mergeCell ref="F143:F145"/>
    <mergeCell ref="D146:D148"/>
    <mergeCell ref="E146:E148"/>
    <mergeCell ref="F146:F148"/>
    <mergeCell ref="D150:D152"/>
    <mergeCell ref="E150:E152"/>
    <mergeCell ref="F150:F152"/>
    <mergeCell ref="G143:G144"/>
    <mergeCell ref="G146:G147"/>
    <mergeCell ref="G150:G151"/>
    <mergeCell ref="G153:G154"/>
    <mergeCell ref="D162:D164"/>
    <mergeCell ref="E162:E164"/>
    <mergeCell ref="F162:F164"/>
    <mergeCell ref="D165:D167"/>
    <mergeCell ref="E165:E167"/>
    <mergeCell ref="F165:F167"/>
    <mergeCell ref="D156:D158"/>
    <mergeCell ref="D137:D139"/>
    <mergeCell ref="E137:E139"/>
    <mergeCell ref="F137:F139"/>
    <mergeCell ref="D140:D142"/>
    <mergeCell ref="E140:E142"/>
    <mergeCell ref="F140:F142"/>
    <mergeCell ref="D127:D133"/>
    <mergeCell ref="E127:E133"/>
    <mergeCell ref="F127:F133"/>
    <mergeCell ref="D134:D136"/>
    <mergeCell ref="E134:E136"/>
    <mergeCell ref="F134:F136"/>
    <mergeCell ref="D115:D117"/>
    <mergeCell ref="E115:E117"/>
    <mergeCell ref="F115:F117"/>
    <mergeCell ref="D118:D120"/>
    <mergeCell ref="E118:E120"/>
    <mergeCell ref="F118:F120"/>
    <mergeCell ref="G118:G119"/>
    <mergeCell ref="G121:G122"/>
    <mergeCell ref="G124:G125"/>
    <mergeCell ref="D121:D123"/>
    <mergeCell ref="E121:E123"/>
    <mergeCell ref="F121:F123"/>
    <mergeCell ref="D124:D126"/>
    <mergeCell ref="E124:E126"/>
    <mergeCell ref="F124:F126"/>
    <mergeCell ref="D109:D111"/>
    <mergeCell ref="E109:E111"/>
    <mergeCell ref="F109:F111"/>
    <mergeCell ref="D112:D114"/>
    <mergeCell ref="E112:E114"/>
    <mergeCell ref="F112:F114"/>
    <mergeCell ref="D103:D105"/>
    <mergeCell ref="E103:E105"/>
    <mergeCell ref="F103:F105"/>
    <mergeCell ref="D106:D108"/>
    <mergeCell ref="E106:E108"/>
    <mergeCell ref="F106:F108"/>
    <mergeCell ref="D73:D75"/>
    <mergeCell ref="E73:E75"/>
    <mergeCell ref="F73:F75"/>
    <mergeCell ref="F97:F99"/>
    <mergeCell ref="D100:D102"/>
    <mergeCell ref="E100:E102"/>
    <mergeCell ref="F100:F102"/>
    <mergeCell ref="D82:D84"/>
    <mergeCell ref="E82:E84"/>
    <mergeCell ref="F82:F84"/>
    <mergeCell ref="D88:D90"/>
    <mergeCell ref="E88:E90"/>
    <mergeCell ref="F88:F90"/>
    <mergeCell ref="D97:D99"/>
    <mergeCell ref="E97:E99"/>
    <mergeCell ref="F85:L85"/>
    <mergeCell ref="H86:I86"/>
    <mergeCell ref="F87:L87"/>
    <mergeCell ref="D76:D78"/>
    <mergeCell ref="E76:E78"/>
    <mergeCell ref="D79:D81"/>
    <mergeCell ref="E79:E81"/>
    <mergeCell ref="D94:D96"/>
    <mergeCell ref="E94:E96"/>
    <mergeCell ref="D45:D47"/>
    <mergeCell ref="E45:E47"/>
    <mergeCell ref="F45:F47"/>
    <mergeCell ref="D60:D62"/>
    <mergeCell ref="E60:E62"/>
    <mergeCell ref="F60:F62"/>
    <mergeCell ref="D63:D69"/>
    <mergeCell ref="E63:E69"/>
    <mergeCell ref="F63:F69"/>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12:M215"/>
    <mergeCell ref="M88:M91"/>
    <mergeCell ref="F149:L149"/>
    <mergeCell ref="M150:M153"/>
    <mergeCell ref="F211:L211"/>
    <mergeCell ref="F48:F50"/>
    <mergeCell ref="F51:F53"/>
    <mergeCell ref="F76:F78"/>
    <mergeCell ref="F79:F81"/>
    <mergeCell ref="F91:F93"/>
    <mergeCell ref="F94:F96"/>
    <mergeCell ref="M24:M84"/>
    <mergeCell ref="G42:G43"/>
    <mergeCell ref="G127:G128"/>
    <mergeCell ref="G134:G135"/>
    <mergeCell ref="G137:G138"/>
    <mergeCell ref="G140:G141"/>
    <mergeCell ref="G156:G157"/>
    <mergeCell ref="G159:G160"/>
    <mergeCell ref="G162:G163"/>
    <mergeCell ref="D70:D72"/>
    <mergeCell ref="E70:E72"/>
    <mergeCell ref="F70:F72"/>
    <mergeCell ref="F336:M336"/>
    <mergeCell ref="F273:L273"/>
    <mergeCell ref="D274:D276"/>
    <mergeCell ref="E274:E276"/>
    <mergeCell ref="F274:F276"/>
    <mergeCell ref="D277:D279"/>
    <mergeCell ref="E277:E279"/>
    <mergeCell ref="F277:F279"/>
    <mergeCell ref="D280:D282"/>
    <mergeCell ref="D286:D288"/>
    <mergeCell ref="E286:E288"/>
    <mergeCell ref="F286:F288"/>
    <mergeCell ref="D289:D291"/>
    <mergeCell ref="E289:E291"/>
    <mergeCell ref="F289:F291"/>
    <mergeCell ref="E280:E282"/>
    <mergeCell ref="F280:F282"/>
    <mergeCell ref="D283:D285"/>
    <mergeCell ref="E283:E285"/>
    <mergeCell ref="D91:D93"/>
    <mergeCell ref="E91:E93"/>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65:G66"/>
    <mergeCell ref="G129:G130"/>
    <mergeCell ref="G191:G192"/>
    <mergeCell ref="G253:G254"/>
    <mergeCell ref="G315:G316"/>
    <mergeCell ref="G67:G68"/>
    <mergeCell ref="G131:G132"/>
    <mergeCell ref="G193:G194"/>
    <mergeCell ref="G255:G256"/>
    <mergeCell ref="G317:G31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70:J70 I73:J73 I76:J76 I79:J79 I212:J212 I215:J215 I218:J218 I221:J221 I224:J224 I227:J227 I230:J230 I233:J233 I236:J236 I239:J239 I242:J242 I245:J245 I248:J248 I251:J251 I258:J258 I261:J261 I264:J264 I8:J8 I82:J82 I146:J146 I91:J91 I94:J94 I97:J97 I100:J100 I103:J103 I106:J106 I109:J109 I112:J112 I115:J115 I118:J118 I121:J121 I124:J124 I127:J127 I134:J134 I137:J137 I140:J140 I143:J143 I150:J150 I88:J88 I153:J153 I156:J156 I159:J159 I162:J162 I165:J165 I168:J168 I171:J171 I174:J174 I177:J177 I180:J180 I183:J183 I186:J186 I196:J196 I199:J199 I202:J202 I205:J205 I208:J208 I189:J189 I267:J267 I270:J270 I274:J274 I277:J277 I280:J280 I283:J283 I286:J286 I289:J289 I292:J292 I295:J295 I298:J298 I301:J301 I304:J304 I307:J307 I310:J310 I313:J313 I320:J320 I323:J323 I326:J326 I329:J329 I332:J332 I2:J2 I5:J5 I65 J65 I129 J129 I191 J191 I253 J253 I315 J315 I67 J67 I131 J131 I193 J193 I255 J255 I317 J317"/>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6">
      <formula1>900</formula1>
    </dataValidation>
    <dataValidation type="textLength" operator="lessThanOrEqual" allowBlank="1" showInputMessage="1" showErrorMessage="1" errorTitle="Ошибка" error="Допускается ввод не более 900 символов!" sqref="M150:M151 M212:M213 M23 M88:M89 M274:M275">
      <formula1>900</formula1>
    </dataValidation>
    <dataValidation type="decimal" allowBlank="1" showErrorMessage="1" errorTitle="Ошибка" error="Допускается ввод только действительных чисел!" sqref="K212 K215 K218 K221 K224 K227 K230 K233 K236 K239 K242 K245 K248 K251 K258 K261 K264 K267 K10 K88 K143 K140 K137 K134 K127 K124 K121 K118 K115 K112 K109 K106 K103 K100 K97 K94 K91 K150 K146 K153 K156 K159 K162 K165 K168 K171 K174 K177 K180 K183 K186 K196 K199 K202 K205 K208 K189 K270 K274 K277 K280 K283 K286 K289 K292 K295 K298 K301 K304 K307 K310 K313 K320 K323 K326 K329 K332 K5 K129 K191 K253 K315 K131 K193 K255 K317">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B7E36-38BA-90F2-8D21-A0694CDC0B32}"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37473" width="9.140625" hidden="1" customWidth="1"/>
    <col min="2" max="2" style="37324" width="9.140625" hidden="1" customWidth="1"/>
    <col min="3" max="3" style="32300" width="3.7109375" customWidth="1"/>
    <col min="4" max="4" style="37458" width="6.28125" customWidth="1"/>
    <col min="5" max="5" style="37458" width="53.8515625" customWidth="1"/>
    <col min="6" max="7" style="37458" width="35.7109375" customWidth="1"/>
    <col min="8" max="8" style="37458" width="89.57421875" customWidth="1"/>
    <col min="9" max="9" style="37458" width="10.57421875"/>
    <col min="10" max="11" style="37459" width="10.57421875"/>
    <col min="12" max="17" style="37458" width="10.57421875"/>
  </cols>
  <sheetData>
    <row customHeight="1" ht="14.25" hidden="1">
      <c r="N1" s="616"/>
      <c r="O1" s="616"/>
      <c r="Q1" s="616"/>
    </row>
    <row s="32343" customFormat="1" customHeight="1" ht="18.75" hidden="1">
      <c r="A2" s="464"/>
      <c r="B2" s="1523"/>
      <c r="C2" s="2096" t="s">
        <v>103</v>
      </c>
      <c r="D2" s="2039"/>
      <c r="E2" s="2048"/>
      <c r="F2" s="618"/>
      <c r="G2" s="1524"/>
      <c r="H2" s="735"/>
      <c r="I2" s="1990"/>
      <c r="J2" s="1990"/>
    </row>
    <row customHeight="1" ht="14.25" hidden="1"/>
    <row customHeight="1" ht="6">
      <c r="C4" s="737"/>
      <c r="D4" s="724"/>
      <c r="E4" s="724"/>
      <c r="F4" s="724"/>
      <c r="G4" s="446"/>
      <c r="H4" s="446"/>
    </row>
    <row customHeight="1" ht="33">
      <c r="C5" s="737"/>
      <c r="D5" s="2719"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720"/>
      <c r="F5" s="2720"/>
      <c r="G5" s="2721"/>
      <c r="H5" s="627"/>
    </row>
    <row s="32343" customFormat="1" customHeight="1" ht="17.25">
      <c r="A6" s="2035"/>
      <c r="B6" s="1523"/>
      <c r="C6" s="737"/>
      <c r="D6" s="2722" t="str">
        <f>IF(org=0,"Не определено",org)</f>
        <v>АО "Мурманэнергосбыт"</v>
      </c>
      <c r="E6" s="2723"/>
      <c r="F6" s="2723"/>
      <c r="G6" s="2724"/>
      <c r="H6" s="627"/>
      <c r="J6" s="1990"/>
      <c r="K6" s="1990"/>
    </row>
    <row customHeight="1" ht="14.25">
      <c r="C7" s="737"/>
      <c r="D7" s="724"/>
      <c r="E7" s="750"/>
      <c r="F7" s="750"/>
      <c r="G7" s="1113"/>
      <c r="H7" s="554"/>
    </row>
    <row customHeight="1" ht="14.25">
      <c r="C8" s="737"/>
      <c r="D8" s="2482" t="s">
        <v>341</v>
      </c>
      <c r="E8" s="2482"/>
      <c r="F8" s="2482"/>
      <c r="G8" s="2482"/>
      <c r="H8" s="2725" t="s">
        <v>342</v>
      </c>
    </row>
    <row customHeight="1" ht="14.25">
      <c r="C9" s="737"/>
      <c r="D9" s="747" t="s">
        <v>87</v>
      </c>
      <c r="E9" s="470" t="s">
        <v>343</v>
      </c>
      <c r="F9" s="470" t="s">
        <v>344</v>
      </c>
      <c r="G9" s="470" t="s">
        <v>431</v>
      </c>
      <c r="H9" s="2725"/>
    </row>
    <row customHeight="1" ht="14.25">
      <c r="A10" s="704"/>
      <c r="C10" s="737"/>
      <c r="D10" s="509" t="s">
        <v>118</v>
      </c>
      <c r="E10" s="225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618"/>
      <c r="G10" s="574"/>
      <c r="H10" s="2436" t="s">
        <v>1126</v>
      </c>
    </row>
    <row customHeight="1" ht="14.25">
      <c r="A11" s="704"/>
      <c r="C11" s="737"/>
      <c r="D11" s="509" t="s">
        <v>102</v>
      </c>
      <c r="E11" s="225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618"/>
      <c r="G11" s="574"/>
      <c r="H11" s="2437"/>
    </row>
    <row customHeight="1" ht="14.25">
      <c r="A12" s="464"/>
      <c r="C12" s="748"/>
      <c r="D12" s="509" t="s">
        <v>89</v>
      </c>
      <c r="E12" s="749" t="str">
        <f>"Сведения о планировании закупочных процедур"&amp;IF(TEMPLATE_SPHERE="TKO"," &lt;1&gt;","")</f>
        <v>Сведения о планировании закупочных процедур</v>
      </c>
      <c r="F12" s="618"/>
      <c r="G12" s="574"/>
      <c r="H12" s="243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711"/>
      <c r="K12" s="735"/>
    </row>
    <row customHeight="1" ht="14.25">
      <c r="A13" s="464"/>
      <c r="C13" s="748"/>
      <c r="D13" s="509" t="s">
        <v>90</v>
      </c>
      <c r="E13" s="749" t="str">
        <f>"Сведения о результатах проведения закупочных процедур"&amp;IF(TEMPLATE_SPHERE="TKO"," &lt;1&gt;","")</f>
        <v>Сведения о результатах проведения закупочных процедур</v>
      </c>
      <c r="F13" s="618"/>
      <c r="G13" s="574"/>
      <c r="H13" s="2437"/>
      <c r="I13" s="711"/>
      <c r="K13" s="735"/>
    </row>
    <row customHeight="1" ht="14.25">
      <c r="A14" s="704"/>
      <c r="C14" s="737"/>
      <c r="D14" s="708"/>
      <c r="E14" s="756" t="s">
        <v>363</v>
      </c>
      <c r="F14" s="710"/>
      <c r="G14" s="562"/>
      <c r="H14" s="2438"/>
    </row>
    <row s="32343" customFormat="1" customHeight="1" ht="14.25">
      <c r="A15" s="704"/>
      <c r="B15" s="1523"/>
      <c r="C15" s="737"/>
      <c r="D15" s="757"/>
      <c r="E15" s="2043"/>
      <c r="F15" s="2044"/>
      <c r="G15" s="2045"/>
      <c r="H15" s="2046"/>
      <c r="J15" s="1990"/>
      <c r="K15" s="1990"/>
    </row>
    <row customHeight="1" ht="14.25">
      <c r="D16" s="2047"/>
      <c r="E16" s="2656"/>
      <c r="F16" s="2656"/>
      <c r="G16" s="2656"/>
      <c r="H16" s="2656"/>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3BCC78-5D04-A7DD-FCF7-2DB19A7F93DF}"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32070" width="9.140625" hidden="1" customWidth="1"/>
    <col min="2" max="2" style="32073" width="9.140625" hidden="1" customWidth="1"/>
    <col min="3" max="3" style="37074" width="4.7109375" customWidth="1"/>
    <col min="4" max="4" style="32073" width="6.28125" customWidth="1"/>
    <col min="5" max="5" style="32073" width="47.8515625" customWidth="1"/>
    <col min="6" max="6" style="32073" width="9.57421875" customWidth="1"/>
    <col min="7" max="7" style="31547" width="25.7109375" hidden="1" customWidth="1"/>
    <col min="8" max="8" style="31547" width="34.00390625" hidden="1" customWidth="1"/>
    <col min="9" max="9" style="32073" width="25.7109375" customWidth="1"/>
    <col min="10" max="10" style="32073" width="34.00390625" customWidth="1"/>
    <col min="11" max="11" style="31548" width="50.8515625" customWidth="1"/>
    <col min="12" max="20" style="32073" width="10.57421875"/>
    <col min="21" max="21" style="37075" width="10.57421875"/>
  </cols>
  <sheetData>
    <row s="31548" customFormat="1" customHeight="1" ht="15" hidden="1">
      <c r="C1" s="1033"/>
      <c r="G1" s="778">
        <v>4</v>
      </c>
      <c r="I1" s="778">
        <v>4</v>
      </c>
      <c r="U1" s="781"/>
    </row>
    <row s="36887" customFormat="1" customHeight="1" ht="15" hidden="1">
      <c r="A2" s="723"/>
      <c r="C2" s="538"/>
      <c r="D2" s="707"/>
      <c r="E2" s="1034"/>
      <c r="F2" s="883"/>
      <c r="G2" s="977"/>
      <c r="H2" s="977"/>
      <c r="I2" s="977"/>
      <c r="J2" s="977"/>
      <c r="U2" s="1035"/>
    </row>
    <row s="31548" customFormat="1" customHeight="1" ht="15" hidden="1">
      <c r="C3" s="1033"/>
      <c r="U3" s="781"/>
    </row>
    <row customHeight="1" ht="15">
      <c r="C4" s="538"/>
      <c r="D4" s="870"/>
      <c r="E4" s="870"/>
      <c r="F4" s="870"/>
      <c r="G4" s="870"/>
      <c r="H4" s="870"/>
      <c r="I4" s="870"/>
      <c r="J4" s="870"/>
    </row>
    <row customHeight="1" ht="63">
      <c r="C5" s="538"/>
      <c r="D5" s="2505" t="s">
        <v>1127</v>
      </c>
      <c r="E5" s="2505"/>
      <c r="F5" s="2505"/>
      <c r="G5" s="2505"/>
      <c r="H5" s="2505"/>
      <c r="I5" s="2505"/>
      <c r="J5" s="2505"/>
    </row>
    <row customHeight="1" ht="15">
      <c r="C6" s="538"/>
      <c r="D6" s="2474" t="str">
        <f>IF(org=0,"Не определено",org)</f>
        <v>АО "Мурманэнергосбыт"</v>
      </c>
      <c r="E6" s="2474"/>
      <c r="F6" s="2474"/>
      <c r="G6" s="2474"/>
      <c r="H6" s="2474"/>
      <c r="I6" s="2474"/>
      <c r="J6" s="2474"/>
      <c r="K6" s="898"/>
    </row>
    <row customHeight="1" ht="15">
      <c r="C7" s="538"/>
      <c r="D7" s="1113"/>
      <c r="E7" s="870"/>
      <c r="F7" s="870"/>
      <c r="G7" s="898">
        <v>22</v>
      </c>
      <c r="I7" s="898">
        <v>1</v>
      </c>
      <c r="J7" s="1113"/>
    </row>
    <row s="31547" customFormat="1" customHeight="1" ht="0.75">
      <c r="A8" s="1120"/>
      <c r="C8" s="538"/>
      <c r="D8" s="870"/>
      <c r="E8" s="870"/>
      <c r="F8" s="870"/>
      <c r="G8" s="898"/>
      <c r="H8" s="1113"/>
      <c r="I8" s="898" t="s">
        <v>125</v>
      </c>
      <c r="J8" s="1113"/>
      <c r="K8" s="778"/>
      <c r="U8" s="1036"/>
    </row>
    <row customHeight="1" ht="15">
      <c r="C9" s="538"/>
      <c r="D9" s="1072"/>
      <c r="E9" s="2636" t="s">
        <v>114</v>
      </c>
      <c r="F9" s="2637"/>
      <c r="G9" s="2659" t="str">
        <f>IF(G8="","",INDEX(DIFFERENTIATION_UNMERGE_VD,MATCH(G8,DIFFERENTIATION_ID_DIFF,0)))</f>
        <v/>
      </c>
      <c r="H9" s="2660"/>
      <c r="I9" s="2659">
        <f>IF(I8="","",INDEX(DIFFERENTIATION_UNMERGE_VD,MATCH(I8,DIFFERENTIATION_ID_DIFF,0)))</f>
        <v>0</v>
      </c>
      <c r="J9" s="2660"/>
      <c r="K9" s="2449" t="s">
        <v>342</v>
      </c>
    </row>
    <row s="31547" customFormat="1" customHeight="1" ht="15">
      <c r="A10" s="1120"/>
      <c r="C10" s="538"/>
      <c r="D10" s="1072"/>
      <c r="E10" s="2636" t="s">
        <v>605</v>
      </c>
      <c r="F10" s="2637"/>
      <c r="G10" s="2659" t="str">
        <f>IF(G8="","",INDEX(DIFFERENTIATION_UNMERGE_AREA,MATCH(G8,DIFFERENTIATION_ID_DIFF,0)))</f>
        <v/>
      </c>
      <c r="H10" s="2660"/>
      <c r="I10" s="2659" t="str">
        <f>IF(I8="","",INDEX(DIFFERENTIATION_UNMERGE_AREA,MATCH(I8,DIFFERENTIATION_ID_DIFF,0)))</f>
        <v/>
      </c>
      <c r="J10" s="2660"/>
      <c r="K10" s="2457"/>
      <c r="U10" s="1036"/>
    </row>
    <row s="31547" customFormat="1" customHeight="1" ht="15">
      <c r="A11" s="1120"/>
      <c r="C11" s="538"/>
      <c r="D11" s="1072"/>
      <c r="E11" s="2636" t="s">
        <v>606</v>
      </c>
      <c r="F11" s="2637"/>
      <c r="G11" s="2659" t="str">
        <f>IF(G8="","",INDEX(DIFFERENTIATION_UNMERGE_SYSTEM,MATCH(G8,DIFFERENTIATION_ID_DIFF,0)))</f>
        <v/>
      </c>
      <c r="H11" s="2660"/>
      <c r="I11" s="2659" t="str">
        <f>IF(I8="","",INDEX(DIFFERENTIATION_UNMERGE_SYSTEM,MATCH(I8,DIFFERENTIATION_ID_DIFF,0)))</f>
        <v>без дифференциации</v>
      </c>
      <c r="J11" s="2660"/>
      <c r="K11" s="2457"/>
      <c r="U11" s="1036"/>
    </row>
    <row s="31547" customFormat="1" customHeight="1" ht="15">
      <c r="A12" s="1120"/>
      <c r="C12" s="538"/>
      <c r="D12" s="2638" t="s">
        <v>341</v>
      </c>
      <c r="E12" s="2639"/>
      <c r="F12" s="2639"/>
      <c r="G12" s="1248"/>
      <c r="H12" s="1248"/>
      <c r="I12" s="1248"/>
      <c r="J12" s="1248"/>
      <c r="K12" s="2457"/>
      <c r="U12" s="1036"/>
    </row>
    <row customHeight="1" ht="33.75">
      <c r="C13" s="538"/>
      <c r="D13" s="1166" t="s">
        <v>87</v>
      </c>
      <c r="E13" s="1168" t="s">
        <v>343</v>
      </c>
      <c r="F13" s="1168" t="s">
        <v>607</v>
      </c>
      <c r="G13" s="1169" t="s">
        <v>344</v>
      </c>
      <c r="H13" s="1168" t="s">
        <v>431</v>
      </c>
      <c r="I13" s="1169" t="s">
        <v>344</v>
      </c>
      <c r="J13" s="1168" t="s">
        <v>431</v>
      </c>
      <c r="K13" s="2510"/>
    </row>
    <row customHeight="1" ht="15" hidden="1">
      <c r="C14" s="538"/>
      <c r="D14" s="954" t="s">
        <v>118</v>
      </c>
      <c r="E14" s="954" t="s">
        <v>102</v>
      </c>
      <c r="F14" s="954" t="s">
        <v>89</v>
      </c>
      <c r="G14" s="1020" t="str">
        <f>G1&amp;".1"</f>
        <v>4.1</v>
      </c>
      <c r="H14" s="1020"/>
      <c r="I14" s="1020" t="str">
        <f>I1&amp;".1"</f>
        <v>4.1</v>
      </c>
      <c r="J14" s="1020"/>
      <c r="K14" s="650"/>
    </row>
    <row customHeight="1" ht="22.5" hidden="1">
      <c r="A15" s="866"/>
      <c r="C15" s="887"/>
      <c r="D15" s="882">
        <v>1</v>
      </c>
      <c r="E15" s="1038" t="s">
        <v>764</v>
      </c>
      <c r="F15" s="882" t="s">
        <v>765</v>
      </c>
      <c r="G15" s="1039"/>
      <c r="H15" s="1039"/>
      <c r="I15" s="1039"/>
      <c r="J15" s="1039"/>
      <c r="K15" s="650" t="s">
        <v>766</v>
      </c>
    </row>
    <row customHeight="1" ht="22.5" hidden="1">
      <c r="A16" s="866"/>
      <c r="C16" s="887"/>
      <c r="D16" s="882">
        <v>2</v>
      </c>
      <c r="E16" s="640" t="s">
        <v>767</v>
      </c>
      <c r="F16" s="882" t="s">
        <v>768</v>
      </c>
      <c r="G16" s="1039"/>
      <c r="H16" s="1039"/>
      <c r="I16" s="1039"/>
      <c r="J16" s="1039"/>
      <c r="K16" s="650" t="s">
        <v>769</v>
      </c>
    </row>
    <row customHeight="1" ht="123.75" hidden="1">
      <c r="A17" s="866"/>
      <c r="C17" s="887"/>
      <c r="D17" s="882">
        <v>3</v>
      </c>
      <c r="E17" s="640" t="s">
        <v>1128</v>
      </c>
      <c r="F17" s="882" t="s">
        <v>347</v>
      </c>
      <c r="G17" s="1039"/>
      <c r="H17" s="1039"/>
      <c r="I17" s="1039"/>
      <c r="J17" s="1039"/>
      <c r="K17" s="650" t="s">
        <v>1129</v>
      </c>
    </row>
    <row customHeight="1" ht="45">
      <c r="A18" s="866"/>
      <c r="C18" s="887"/>
      <c r="D18" s="882">
        <v>3</v>
      </c>
      <c r="E18" s="640" t="s">
        <v>770</v>
      </c>
      <c r="F18" s="882" t="s">
        <v>347</v>
      </c>
      <c r="G18" s="1170" t="s">
        <v>347</v>
      </c>
      <c r="H18" s="1171" t="s">
        <v>347</v>
      </c>
      <c r="I18" s="882" t="s">
        <v>347</v>
      </c>
      <c r="J18" s="939" t="s">
        <v>347</v>
      </c>
      <c r="K18" s="650" t="s">
        <v>1130</v>
      </c>
    </row>
    <row customHeight="1" ht="33.75">
      <c r="A19" s="866"/>
      <c r="C19" s="887"/>
      <c r="D19" s="900" t="s">
        <v>365</v>
      </c>
      <c r="E19" s="920" t="s">
        <v>772</v>
      </c>
      <c r="F19" s="882" t="s">
        <v>773</v>
      </c>
      <c r="G19" s="1178"/>
      <c r="H19" s="468"/>
      <c r="I19" s="1178"/>
      <c r="J19" s="1179"/>
      <c r="K19" s="1040"/>
    </row>
    <row customHeight="1" ht="33.75">
      <c r="A20" s="866"/>
      <c r="C20" s="887"/>
      <c r="D20" s="2257" t="s">
        <v>373</v>
      </c>
      <c r="E20" s="920" t="s">
        <v>774</v>
      </c>
      <c r="F20" s="882" t="s">
        <v>775</v>
      </c>
      <c r="G20" s="1178"/>
      <c r="H20" s="468"/>
      <c r="I20" s="1178"/>
      <c r="J20" s="468"/>
      <c r="K20" s="1040"/>
    </row>
    <row customHeight="1" ht="45">
      <c r="A21" s="866"/>
      <c r="C21" s="887"/>
      <c r="D21" s="2257" t="s">
        <v>375</v>
      </c>
      <c r="E21" s="920" t="s">
        <v>776</v>
      </c>
      <c r="F21" s="882" t="s">
        <v>612</v>
      </c>
      <c r="G21" s="1041"/>
      <c r="H21" s="468"/>
      <c r="I21" s="1041"/>
      <c r="J21" s="468"/>
      <c r="K21" s="1040"/>
    </row>
    <row customHeight="1" ht="67.5" hidden="1">
      <c r="A22" s="866"/>
      <c r="C22" s="887"/>
      <c r="D22" s="882">
        <v>5</v>
      </c>
      <c r="E22" s="640" t="s">
        <v>1131</v>
      </c>
      <c r="F22" s="882" t="s">
        <v>599</v>
      </c>
      <c r="G22" s="1042"/>
      <c r="H22" s="1043"/>
      <c r="I22" s="1042"/>
      <c r="J22" s="1043"/>
      <c r="K22" s="650" t="s">
        <v>1132</v>
      </c>
    </row>
    <row customHeight="1" ht="33.75" hidden="1">
      <c r="C23" s="812"/>
      <c r="D23" s="882">
        <v>6</v>
      </c>
      <c r="E23" s="640" t="s">
        <v>1133</v>
      </c>
      <c r="F23" s="882" t="s">
        <v>1134</v>
      </c>
      <c r="G23" s="1042"/>
      <c r="H23" s="1042"/>
      <c r="I23" s="1042"/>
      <c r="J23" s="1042"/>
      <c r="K23" s="650" t="s">
        <v>1135</v>
      </c>
    </row>
    <row r="29" customHeight="1" ht="15">
      <c r="J29" s="1180"/>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11BA637-DDF2-91FE-C832-249E55F552B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37583" width="32.57421875" customWidth="1"/>
    <col min="2" max="2" style="37584" width="11.00390625" customWidth="1"/>
    <col min="3" max="3" style="37584" width="9.140625"/>
    <col min="4" max="4" style="37584" width="26.57421875" customWidth="1"/>
    <col min="5" max="5" style="37585" width="27.7109375" customWidth="1"/>
    <col min="6" max="6" style="37585" width="23.57421875" customWidth="1"/>
    <col min="7" max="7" style="37585" width="31.421875" customWidth="1"/>
    <col min="8" max="8" style="37585" width="40.8515625" customWidth="1"/>
    <col min="9" max="9" style="37585" width="14.57421875" customWidth="1"/>
    <col min="10" max="10" style="37585" width="26.8515625" customWidth="1"/>
    <col min="11" max="11" style="37585" width="50.00390625" customWidth="1"/>
    <col min="12" max="12" style="37585" width="52.421875" customWidth="1"/>
    <col min="13" max="13" style="37585" width="10.7109375" customWidth="1"/>
    <col min="14" max="14" style="37585" width="55.140625" customWidth="1"/>
    <col min="15" max="15" style="37585" width="31.8515625" customWidth="1"/>
    <col min="16" max="16" style="37585" width="23.8515625" customWidth="1"/>
    <col min="17" max="17" style="37585" width="46.57421875" customWidth="1"/>
    <col min="18" max="18" style="37585" width="24.00390625" customWidth="1"/>
    <col min="19" max="19" style="37585" width="20.57421875" customWidth="1"/>
    <col min="20" max="20" style="37585" width="22.00390625" customWidth="1"/>
    <col min="21" max="22" style="37585" width="26.421875" customWidth="1"/>
    <col min="23" max="23" style="37585" width="8.28125" hidden="1" customWidth="1"/>
    <col min="24" max="24" style="37585" width="59.7109375" customWidth="1"/>
    <col min="25" max="25" style="37585" width="49.140625" customWidth="1"/>
    <col min="26" max="26" style="37585" width="11.140625" customWidth="1"/>
    <col min="27" max="30" style="37585" width="29.00390625" customWidth="1"/>
    <col min="31" max="31" style="37585" width="9.140625"/>
    <col min="32" max="32" style="37585" width="34.7109375" customWidth="1"/>
    <col min="33" max="33" style="37585" width="9.140625"/>
    <col min="34" max="35" style="37585" width="34.421875" customWidth="1"/>
    <col min="36" max="36" style="37585" width="9.140625"/>
    <col min="37" max="37" style="37585" width="24.57421875" customWidth="1"/>
    <col min="38" max="38" style="37585" width="9.140625"/>
    <col min="39" max="39" style="37585" width="26.140625" customWidth="1"/>
    <col min="40" max="40" style="37585" width="1.7109375" customWidth="1"/>
    <col min="41" max="41" style="37585" width="9.140625"/>
    <col min="42" max="43" style="37585" width="47.8515625" customWidth="1"/>
    <col min="44" max="44" style="37585" width="1.7109375" customWidth="1"/>
    <col min="45" max="45" style="37585" width="21.421875" customWidth="1"/>
    <col min="46" max="46" style="37585" width="1.7109375" customWidth="1"/>
    <col min="47" max="47" style="37585" width="31.28125" customWidth="1"/>
    <col min="48" max="48" style="37585" width="1.7109375" customWidth="1"/>
    <col min="49" max="50" style="37586" width="9.140625"/>
    <col min="51" max="51" style="37585" width="3.7109375" customWidth="1"/>
    <col min="52" max="52" style="37585" width="60.8515625" customWidth="1"/>
    <col min="53" max="53" style="37585" width="49.28125" customWidth="1"/>
    <col min="54" max="54" style="37585" width="35.140625" customWidth="1"/>
    <col min="55" max="55" style="37585" width="9.140625"/>
    <col min="56" max="56" style="37585" width="1.7109375" customWidth="1"/>
    <col min="57" max="57" style="37587" width="12.57421875" customWidth="1"/>
    <col min="58" max="58" style="37587" width="14.28125" customWidth="1"/>
    <col min="59" max="59" style="37585" width="30.7109375" customWidth="1"/>
    <col min="60" max="60" style="37588" width="40.7109375" customWidth="1"/>
    <col min="61" max="61" style="37588" width="15.00390625" customWidth="1"/>
    <col min="62" max="62" style="37588" width="40.7109375" customWidth="1"/>
    <col min="63" max="63" style="37588" width="2.7109375" customWidth="1"/>
    <col min="64" max="64" style="37588" width="44.7109375" customWidth="1"/>
    <col min="65" max="65" style="37588" width="2.7109375" customWidth="1"/>
    <col min="66" max="66" style="37588" width="40.7109375" customWidth="1"/>
    <col min="67" max="68" style="37585" width="9.140625"/>
    <col min="69" max="69" style="37585" width="18.140625" customWidth="1"/>
    <col min="70" max="70" style="37585" width="57.8515625" customWidth="1"/>
    <col min="71" max="71" style="37589" width="1.7109375" customWidth="1"/>
    <col min="72" max="72" style="37585" width="22.57421875" customWidth="1"/>
    <col min="73" max="73" style="37585" width="57.8515625" customWidth="1"/>
    <col min="74" max="74" style="37585" width="1.7109375" customWidth="1"/>
    <col min="75" max="75" style="37585" width="22.57421875" customWidth="1"/>
    <col min="76" max="76" style="37585" width="57.8515625" customWidth="1"/>
    <col min="77" max="77" style="37585" width="1.7109375" customWidth="1"/>
    <col min="78" max="78" style="37585" width="22.57421875" customWidth="1"/>
    <col min="79" max="79" style="37585" width="57.8515625" customWidth="1"/>
    <col min="80" max="81" style="37585" width="9.140625"/>
    <col min="82" max="82" style="37585" width="49.57421875" customWidth="1"/>
  </cols>
  <sheetData>
    <row s="37486" customFormat="1" customHeight="1" ht="11.25">
      <c r="A1" s="1429" t="s">
        <v>1136</v>
      </c>
      <c r="B1" s="1429" t="s">
        <v>1137</v>
      </c>
      <c r="C1" s="1429" t="s">
        <v>1138</v>
      </c>
      <c r="D1" s="1429" t="s">
        <v>1139</v>
      </c>
      <c r="E1" s="1429" t="s">
        <v>1140</v>
      </c>
      <c r="F1" s="1429" t="s">
        <v>1141</v>
      </c>
      <c r="G1" s="1429" t="s">
        <v>1142</v>
      </c>
      <c r="H1" s="1429" t="s">
        <v>1143</v>
      </c>
      <c r="I1" s="1429" t="s">
        <v>1144</v>
      </c>
      <c r="J1" s="1429" t="s">
        <v>1145</v>
      </c>
      <c r="K1" s="1429" t="s">
        <v>1146</v>
      </c>
      <c r="L1" s="1429" t="s">
        <v>1147</v>
      </c>
      <c r="M1" s="1429"/>
      <c r="N1" s="1429" t="s">
        <v>1148</v>
      </c>
      <c r="O1" s="1429" t="s">
        <v>1149</v>
      </c>
      <c r="P1" s="1429" t="s">
        <v>1150</v>
      </c>
      <c r="Q1" s="1429" t="s">
        <v>1151</v>
      </c>
      <c r="R1" s="1429" t="s">
        <v>1152</v>
      </c>
      <c r="S1" s="1429" t="s">
        <v>1153</v>
      </c>
      <c r="T1" s="1429" t="s">
        <v>1154</v>
      </c>
      <c r="U1" s="1429" t="s">
        <v>1155</v>
      </c>
      <c r="V1" s="1429"/>
      <c r="W1" s="1158" t="s">
        <v>1156</v>
      </c>
      <c r="X1" s="1429" t="s">
        <v>1157</v>
      </c>
      <c r="Y1" s="1429" t="s">
        <v>1158</v>
      </c>
      <c r="Z1" s="1429"/>
      <c r="AA1" s="1429" t="s">
        <v>1159</v>
      </c>
      <c r="AB1" s="1429"/>
      <c r="AC1" s="1429" t="s">
        <v>1160</v>
      </c>
      <c r="AD1" s="1429"/>
      <c r="AF1" s="1429" t="s">
        <v>1161</v>
      </c>
      <c r="AH1" s="1429" t="s">
        <v>1162</v>
      </c>
      <c r="AI1" s="1429" t="s">
        <v>1163</v>
      </c>
      <c r="AK1" s="1429" t="s">
        <v>1164</v>
      </c>
      <c r="AM1" s="1429" t="s">
        <v>1165</v>
      </c>
      <c r="AP1" s="1429" t="s">
        <v>1166</v>
      </c>
      <c r="AQ1" s="1429" t="s">
        <v>1167</v>
      </c>
      <c r="AS1" s="1429" t="s">
        <v>1168</v>
      </c>
      <c r="AU1" s="1429" t="s">
        <v>1169</v>
      </c>
      <c r="AW1" s="1429" t="s">
        <v>1170</v>
      </c>
      <c r="AX1" s="1429" t="s">
        <v>1171</v>
      </c>
      <c r="AZ1" s="1515" t="s">
        <v>1172</v>
      </c>
      <c r="BB1" s="1429" t="s">
        <v>1173</v>
      </c>
      <c r="BC1" s="1429"/>
      <c r="BE1" s="1429" t="s">
        <v>1174</v>
      </c>
      <c r="BF1" s="1429" t="s">
        <v>1175</v>
      </c>
      <c r="BH1" s="1431" t="s">
        <v>763</v>
      </c>
      <c r="BI1" s="1432"/>
      <c r="BJ1" s="1433" t="s">
        <v>1176</v>
      </c>
      <c r="BK1" s="1432"/>
      <c r="BL1" s="1434" t="s">
        <v>864</v>
      </c>
      <c r="BM1" s="1432"/>
      <c r="BN1" s="1435" t="s">
        <v>1177</v>
      </c>
      <c r="BS1" s="1793"/>
    </row>
    <row customHeight="1" ht="11.25">
      <c r="A2" s="1436" t="s">
        <v>1178</v>
      </c>
      <c r="B2" s="1437">
        <v>2000</v>
      </c>
      <c r="C2" s="1437">
        <v>2022</v>
      </c>
      <c r="D2" s="1437" t="s">
        <v>66</v>
      </c>
      <c r="E2" s="1438" t="s">
        <v>1179</v>
      </c>
      <c r="F2" s="1438" t="s">
        <v>1180</v>
      </c>
      <c r="G2" s="1438" t="s">
        <v>1181</v>
      </c>
      <c r="H2" s="1439" t="s">
        <v>54</v>
      </c>
      <c r="I2" s="1438" t="s">
        <v>118</v>
      </c>
      <c r="J2" s="1438" t="s">
        <v>1182</v>
      </c>
      <c r="K2" s="1440" t="s">
        <v>1183</v>
      </c>
      <c r="L2" s="1441"/>
      <c r="M2" s="1440">
        <v>1</v>
      </c>
      <c r="N2" s="1525" t="s">
        <v>1184</v>
      </c>
      <c r="O2" s="1439" t="s">
        <v>1185</v>
      </c>
      <c r="P2" s="1442" t="s">
        <v>1186</v>
      </c>
      <c r="Q2" s="1443" t="s">
        <v>1187</v>
      </c>
      <c r="R2" s="505" t="s">
        <v>1188</v>
      </c>
      <c r="S2" s="505" t="s">
        <v>1189</v>
      </c>
      <c r="T2" s="1444" t="s">
        <v>1190</v>
      </c>
      <c r="U2" s="1441" t="s">
        <v>1191</v>
      </c>
      <c r="V2" s="1445">
        <v>1</v>
      </c>
      <c r="W2" s="1446"/>
      <c r="X2" s="1446" t="s">
        <v>1192</v>
      </c>
      <c r="Y2" s="1437" t="s">
        <v>1193</v>
      </c>
      <c r="Z2" s="1447"/>
      <c r="AA2" s="1437" t="s">
        <v>1194</v>
      </c>
      <c r="AB2" s="1448" t="s">
        <v>1194</v>
      </c>
      <c r="AC2" s="1437" t="s">
        <v>1195</v>
      </c>
      <c r="AD2" s="1448" t="s">
        <v>1195</v>
      </c>
      <c r="AF2" s="1439" t="s">
        <v>1191</v>
      </c>
      <c r="AH2" s="1438" t="s">
        <v>1196</v>
      </c>
      <c r="AI2" s="1438" t="s">
        <v>1196</v>
      </c>
      <c r="AK2" s="1438" t="s">
        <v>1197</v>
      </c>
      <c r="AM2" s="1438" t="s">
        <v>1198</v>
      </c>
      <c r="AP2" s="1449" t="s">
        <v>1192</v>
      </c>
      <c r="AQ2" s="1450" t="s">
        <v>1192</v>
      </c>
      <c r="AS2" s="1437" t="s">
        <v>1199</v>
      </c>
      <c r="AU2" s="1483" t="s">
        <v>1200</v>
      </c>
      <c r="AW2" s="1483" t="s">
        <v>1201</v>
      </c>
      <c r="AX2" s="1483" t="s">
        <v>1201</v>
      </c>
      <c r="AZ2" s="1483" t="s">
        <v>1202</v>
      </c>
      <c r="BB2" s="1483" t="s">
        <v>1203</v>
      </c>
      <c r="BC2" s="1483" t="s">
        <v>1204</v>
      </c>
      <c r="BE2" s="1483">
        <v>2000</v>
      </c>
      <c r="BF2" s="1483" t="s">
        <v>1205</v>
      </c>
    </row>
    <row customHeight="1" ht="11.25">
      <c r="A3" s="1436" t="s">
        <v>1206</v>
      </c>
      <c r="B3" s="1437">
        <v>2001</v>
      </c>
      <c r="C3" s="1437">
        <v>2023</v>
      </c>
      <c r="D3" s="1437" t="s">
        <v>56</v>
      </c>
      <c r="E3" s="1438" t="s">
        <v>1207</v>
      </c>
      <c r="F3" s="1438" t="s">
        <v>1208</v>
      </c>
      <c r="G3" s="1438" t="s">
        <v>1209</v>
      </c>
      <c r="H3" s="1439" t="s">
        <v>1210</v>
      </c>
      <c r="I3" s="1438" t="s">
        <v>102</v>
      </c>
      <c r="J3" s="1438" t="s">
        <v>597</v>
      </c>
      <c r="K3" s="1440" t="s">
        <v>1211</v>
      </c>
      <c r="L3" s="1441">
        <f>_xlfn.IFERROR(MATCH(K3,OFFER_METHOD,0),0)</f>
        <v>0</v>
      </c>
      <c r="M3" s="1440">
        <v>2</v>
      </c>
      <c r="N3" s="1525" t="s">
        <v>1212</v>
      </c>
      <c r="O3" s="1439" t="s">
        <v>1213</v>
      </c>
      <c r="P3" s="1442" t="s">
        <v>33</v>
      </c>
      <c r="Q3" s="1443" t="s">
        <v>1214</v>
      </c>
      <c r="R3" s="505" t="s">
        <v>1215</v>
      </c>
      <c r="S3" s="505" t="s">
        <v>1216</v>
      </c>
      <c r="T3" s="1444" t="s">
        <v>1217</v>
      </c>
      <c r="U3" s="1441" t="s">
        <v>1218</v>
      </c>
      <c r="V3" s="1445">
        <v>2</v>
      </c>
      <c r="W3" s="1446"/>
      <c r="X3" s="1446" t="s">
        <v>1219</v>
      </c>
      <c r="Y3" s="1437" t="s">
        <v>1193</v>
      </c>
      <c r="Z3" s="1447"/>
      <c r="AA3" s="1437" t="s">
        <v>1220</v>
      </c>
      <c r="AB3" s="1448" t="s">
        <v>1220</v>
      </c>
      <c r="AC3" s="1437" t="s">
        <v>1221</v>
      </c>
      <c r="AD3" s="1448" t="s">
        <v>1221</v>
      </c>
      <c r="AF3" s="1439" t="s">
        <v>1218</v>
      </c>
      <c r="AH3" s="1438" t="s">
        <v>1222</v>
      </c>
      <c r="AI3" s="1438" t="s">
        <v>1223</v>
      </c>
      <c r="AK3" s="1438" t="s">
        <v>1224</v>
      </c>
      <c r="AM3" s="1438" t="s">
        <v>1225</v>
      </c>
      <c r="AP3" s="1449" t="s">
        <v>1226</v>
      </c>
      <c r="AQ3" s="1450" t="s">
        <v>1226</v>
      </c>
      <c r="AS3" s="1437" t="s">
        <v>1227</v>
      </c>
      <c r="AU3" s="1483" t="s">
        <v>1228</v>
      </c>
      <c r="AW3" s="1483" t="s">
        <v>1229</v>
      </c>
      <c r="AX3" s="1483" t="s">
        <v>1229</v>
      </c>
      <c r="AZ3" s="1483" t="s">
        <v>1230</v>
      </c>
      <c r="BB3" s="1483" t="s">
        <v>1231</v>
      </c>
      <c r="BC3" s="1483" t="s">
        <v>1204</v>
      </c>
      <c r="BE3" s="1483">
        <v>2001</v>
      </c>
      <c r="BF3" s="1483" t="s">
        <v>1232</v>
      </c>
      <c r="BH3" s="1429" t="s">
        <v>1233</v>
      </c>
      <c r="BJ3" s="1429" t="s">
        <v>1234</v>
      </c>
      <c r="BL3" s="1429" t="s">
        <v>1235</v>
      </c>
      <c r="BN3" s="1429" t="s">
        <v>1236</v>
      </c>
      <c r="BR3" s="1429" t="s">
        <v>1237</v>
      </c>
      <c r="BS3" s="1794"/>
      <c r="BT3" s="1432"/>
      <c r="BU3" s="1429" t="s">
        <v>1238</v>
      </c>
      <c r="BV3" s="1432"/>
      <c r="BW3" s="2056"/>
      <c r="BX3" s="2058" t="s">
        <v>1239</v>
      </c>
      <c r="CA3" s="1429" t="s">
        <v>1240</v>
      </c>
    </row>
    <row customHeight="1" ht="11.25">
      <c r="A4" s="1436" t="s">
        <v>1241</v>
      </c>
      <c r="B4" s="1437">
        <v>2002</v>
      </c>
      <c r="C4" s="1437">
        <v>2024</v>
      </c>
      <c r="E4" s="1438" t="s">
        <v>1242</v>
      </c>
      <c r="F4" s="1438" t="s">
        <v>1243</v>
      </c>
      <c r="H4" s="1439" t="s">
        <v>1244</v>
      </c>
      <c r="I4" s="1438" t="s">
        <v>89</v>
      </c>
      <c r="J4" s="1438" t="s">
        <v>1245</v>
      </c>
      <c r="K4" s="1440" t="s">
        <v>1246</v>
      </c>
      <c r="L4" s="1441">
        <f>_xlfn.IFERROR(MATCH(K4,OFFER_METHOD,0),0)</f>
        <v>0</v>
      </c>
      <c r="M4" s="1440">
        <v>3</v>
      </c>
      <c r="N4" s="1525" t="s">
        <v>1247</v>
      </c>
      <c r="O4" s="1438" t="s">
        <v>1248</v>
      </c>
      <c r="Q4" s="1443" t="s">
        <v>1249</v>
      </c>
      <c r="R4" s="505" t="s">
        <v>1250</v>
      </c>
      <c r="S4" s="505" t="s">
        <v>1251</v>
      </c>
      <c r="T4" s="1444" t="s">
        <v>1252</v>
      </c>
      <c r="U4" s="1441" t="s">
        <v>1253</v>
      </c>
      <c r="V4" s="1445">
        <v>3</v>
      </c>
      <c r="W4" s="1446"/>
      <c r="X4" s="1446" t="s">
        <v>1254</v>
      </c>
      <c r="Y4" s="1437" t="s">
        <v>1193</v>
      </c>
      <c r="Z4" s="1453"/>
      <c r="AC4" s="1437" t="s">
        <v>1255</v>
      </c>
      <c r="AD4" s="1448" t="s">
        <v>1255</v>
      </c>
      <c r="AF4" s="1439" t="s">
        <v>1253</v>
      </c>
      <c r="AH4" s="1439" t="s">
        <v>1256</v>
      </c>
      <c r="AK4" s="1438" t="s">
        <v>1257</v>
      </c>
      <c r="AM4" s="1438" t="s">
        <v>1258</v>
      </c>
      <c r="AP4" s="1449" t="s">
        <v>1219</v>
      </c>
      <c r="AQ4" s="1450" t="s">
        <v>1219</v>
      </c>
      <c r="AS4" s="1437" t="s">
        <v>1259</v>
      </c>
      <c r="AU4" s="1483" t="s">
        <v>1260</v>
      </c>
      <c r="AW4" s="1483" t="s">
        <v>1261</v>
      </c>
      <c r="AX4" s="1483" t="s">
        <v>1261</v>
      </c>
      <c r="AZ4" s="1483" t="s">
        <v>1262</v>
      </c>
      <c r="BB4" s="1483" t="s">
        <v>1263</v>
      </c>
      <c r="BC4" s="1483" t="s">
        <v>1264</v>
      </c>
      <c r="BE4" s="1483">
        <v>2002</v>
      </c>
      <c r="BF4" s="1483" t="s">
        <v>1265</v>
      </c>
      <c r="BH4" s="1430" t="s">
        <v>1266</v>
      </c>
      <c r="BJ4" s="1430" t="s">
        <v>1266</v>
      </c>
      <c r="BL4" s="1430" t="s">
        <v>1266</v>
      </c>
      <c r="BN4" s="1430" t="s">
        <v>1266</v>
      </c>
      <c r="BQ4" s="1798" t="s">
        <v>1267</v>
      </c>
      <c r="BR4" s="1522" t="s">
        <v>1268</v>
      </c>
      <c r="BS4" s="635"/>
      <c r="BT4" s="1798" t="s">
        <v>1269</v>
      </c>
      <c r="BU4" s="1522" t="s">
        <v>1270</v>
      </c>
      <c r="BV4" s="1432"/>
      <c r="BW4" s="2063" t="s">
        <v>1271</v>
      </c>
      <c r="BX4" s="2057" t="s">
        <v>1272</v>
      </c>
      <c r="BZ4" s="1798" t="s">
        <v>1273</v>
      </c>
      <c r="CA4" s="1522" t="s">
        <v>1274</v>
      </c>
    </row>
    <row customHeight="1" ht="11.25">
      <c r="A5" s="1436" t="s">
        <v>1275</v>
      </c>
      <c r="B5" s="1437">
        <v>2003</v>
      </c>
      <c r="C5" s="1437">
        <v>2025</v>
      </c>
      <c r="E5" s="1438" t="s">
        <v>1276</v>
      </c>
      <c r="F5" s="1438" t="s">
        <v>1277</v>
      </c>
      <c r="H5" s="1439" t="s">
        <v>1278</v>
      </c>
      <c r="I5" s="1438" t="s">
        <v>90</v>
      </c>
      <c r="K5" s="1440" t="s">
        <v>1279</v>
      </c>
      <c r="L5" s="1441">
        <f>_xlfn.IFERROR(MATCH(K5,OFFER_METHOD,0),0)</f>
        <v>0</v>
      </c>
      <c r="M5" s="1440">
        <v>4</v>
      </c>
      <c r="N5" s="1454" t="s">
        <v>1280</v>
      </c>
      <c r="O5" s="1438" t="s">
        <v>1281</v>
      </c>
      <c r="Q5" s="1443" t="s">
        <v>1282</v>
      </c>
      <c r="R5" s="505" t="s">
        <v>582</v>
      </c>
      <c r="T5" s="1439" t="s">
        <v>1283</v>
      </c>
      <c r="U5" s="1441" t="s">
        <v>1284</v>
      </c>
      <c r="V5" s="1445">
        <v>4</v>
      </c>
      <c r="W5" s="1446"/>
      <c r="X5" s="1446" t="s">
        <v>172</v>
      </c>
      <c r="Y5" s="1437" t="s">
        <v>1285</v>
      </c>
      <c r="Z5" s="1453">
        <v>1</v>
      </c>
      <c r="AF5" s="1439" t="s">
        <v>1286</v>
      </c>
      <c r="AH5" s="1438" t="s">
        <v>1287</v>
      </c>
      <c r="AK5" s="1438" t="s">
        <v>1288</v>
      </c>
      <c r="AM5" s="1438" t="s">
        <v>1289</v>
      </c>
      <c r="AP5" s="1449" t="s">
        <v>172</v>
      </c>
      <c r="AQ5" s="1450" t="s">
        <v>172</v>
      </c>
      <c r="AU5" s="1483" t="s">
        <v>1290</v>
      </c>
      <c r="AW5" s="1483" t="s">
        <v>1291</v>
      </c>
      <c r="AX5" s="1483" t="s">
        <v>1291</v>
      </c>
      <c r="AZ5" s="1483" t="s">
        <v>1292</v>
      </c>
      <c r="BB5" s="1483" t="s">
        <v>1293</v>
      </c>
      <c r="BC5" s="1483" t="s">
        <v>1294</v>
      </c>
      <c r="BE5" s="1483">
        <v>2003</v>
      </c>
      <c r="BF5" s="1483" t="s">
        <v>1295</v>
      </c>
      <c r="BH5" s="1430" t="s">
        <v>1296</v>
      </c>
      <c r="BJ5" s="1430" t="s">
        <v>1296</v>
      </c>
      <c r="BL5" s="1430" t="s">
        <v>1296</v>
      </c>
      <c r="BN5" s="1430" t="s">
        <v>1297</v>
      </c>
      <c r="BQ5" s="1647">
        <v>4213775</v>
      </c>
      <c r="BR5" s="1430" t="s">
        <v>1192</v>
      </c>
      <c r="BS5" s="1795"/>
      <c r="BT5" s="1647">
        <v>64236871</v>
      </c>
      <c r="BU5" s="1430" t="s">
        <v>233</v>
      </c>
      <c r="BV5" s="1432"/>
      <c r="BW5" s="2061">
        <v>4213767</v>
      </c>
      <c r="BX5" s="2059" t="s">
        <v>1298</v>
      </c>
      <c r="BZ5" s="1647">
        <v>64237509</v>
      </c>
      <c r="CA5" s="1661" t="s">
        <v>1299</v>
      </c>
    </row>
    <row customHeight="1" ht="11.25">
      <c r="A6" s="1436" t="s">
        <v>1300</v>
      </c>
      <c r="B6" s="1437">
        <v>2004</v>
      </c>
      <c r="C6" s="1437">
        <v>2026</v>
      </c>
      <c r="E6" s="1438" t="s">
        <v>1301</v>
      </c>
      <c r="F6" s="1455"/>
      <c r="H6" s="1439" t="s">
        <v>1302</v>
      </c>
      <c r="I6" s="1438" t="s">
        <v>119</v>
      </c>
      <c r="J6" s="1429" t="s">
        <v>1303</v>
      </c>
      <c r="L6" s="1441">
        <f>SUM(kind_of_control_method_filter)</f>
        <v>0</v>
      </c>
      <c r="N6" s="1454" t="s">
        <v>1304</v>
      </c>
      <c r="O6" s="1438" t="s">
        <v>1305</v>
      </c>
      <c r="R6" s="505" t="s">
        <v>1187</v>
      </c>
      <c r="T6" s="1439" t="s">
        <v>1306</v>
      </c>
      <c r="U6" s="1441" t="s">
        <v>1286</v>
      </c>
      <c r="V6" s="1445">
        <v>5</v>
      </c>
      <c r="W6" s="1446"/>
      <c r="X6" s="1437" t="s">
        <v>178</v>
      </c>
      <c r="Y6" s="1437" t="s">
        <v>1307</v>
      </c>
      <c r="Z6" s="1453"/>
      <c r="AA6" s="1456"/>
      <c r="AH6" s="1438" t="s">
        <v>1308</v>
      </c>
      <c r="AK6" s="1438" t="s">
        <v>1309</v>
      </c>
      <c r="AM6" s="1438" t="s">
        <v>1310</v>
      </c>
      <c r="AP6" s="1449" t="s">
        <v>178</v>
      </c>
      <c r="AQ6" s="1450" t="s">
        <v>178</v>
      </c>
      <c r="AU6" s="1483" t="s">
        <v>1311</v>
      </c>
      <c r="AW6" s="1483" t="s">
        <v>1312</v>
      </c>
      <c r="AX6" s="1483" t="s">
        <v>1312</v>
      </c>
      <c r="BB6" s="1483" t="s">
        <v>1313</v>
      </c>
      <c r="BC6" s="1483" t="s">
        <v>1294</v>
      </c>
      <c r="BE6" s="1483">
        <v>2004</v>
      </c>
      <c r="BF6" s="1483" t="s">
        <v>1314</v>
      </c>
      <c r="BH6" s="1430" t="s">
        <v>1315</v>
      </c>
      <c r="BJ6" s="1430" t="s">
        <v>1316</v>
      </c>
      <c r="BL6" s="1430" t="s">
        <v>1316</v>
      </c>
      <c r="BN6" s="1430" t="s">
        <v>1317</v>
      </c>
      <c r="BQ6" s="1647">
        <v>4213784</v>
      </c>
      <c r="BR6" s="1661" t="s">
        <v>1226</v>
      </c>
      <c r="BS6" s="1796"/>
      <c r="BT6" s="1647">
        <v>64236872</v>
      </c>
      <c r="BU6" s="1430" t="s">
        <v>238</v>
      </c>
      <c r="BV6" s="1432"/>
      <c r="BW6" s="2061">
        <v>4213768</v>
      </c>
      <c r="BX6" s="2059" t="s">
        <v>295</v>
      </c>
      <c r="BZ6" s="1647">
        <v>64237510</v>
      </c>
      <c r="CA6" s="1430" t="s">
        <v>1318</v>
      </c>
    </row>
    <row customHeight="1" ht="11.25">
      <c r="A7" s="1436" t="s">
        <v>1319</v>
      </c>
      <c r="B7" s="1437">
        <v>2005</v>
      </c>
      <c r="E7" s="1438" t="s">
        <v>1320</v>
      </c>
      <c r="F7" s="1455"/>
      <c r="H7" s="1439" t="s">
        <v>1321</v>
      </c>
      <c r="I7" s="1438" t="s">
        <v>91</v>
      </c>
      <c r="J7" s="1438" t="s">
        <v>1322</v>
      </c>
      <c r="N7" s="1458" t="s">
        <v>1323</v>
      </c>
      <c r="O7" s="1438" t="s">
        <v>1324</v>
      </c>
      <c r="U7" s="1441" t="s">
        <v>56</v>
      </c>
      <c r="V7" s="731" t="s">
        <v>91</v>
      </c>
      <c r="W7" s="1446"/>
      <c r="X7" s="1437" t="s">
        <v>184</v>
      </c>
      <c r="Y7" s="1437" t="s">
        <v>1285</v>
      </c>
      <c r="Z7" s="1453"/>
      <c r="AA7" s="1456"/>
      <c r="AH7" s="1438" t="s">
        <v>1325</v>
      </c>
      <c r="AK7" s="1438" t="s">
        <v>1326</v>
      </c>
      <c r="AM7" s="1438" t="s">
        <v>1327</v>
      </c>
      <c r="AP7" s="1449" t="s">
        <v>184</v>
      </c>
      <c r="AQ7" s="1450" t="s">
        <v>184</v>
      </c>
      <c r="AU7" s="1483" t="s">
        <v>1328</v>
      </c>
      <c r="AW7" s="1483" t="s">
        <v>1329</v>
      </c>
      <c r="AX7" s="1483" t="s">
        <v>1329</v>
      </c>
      <c r="AZ7" s="1429" t="s">
        <v>1330</v>
      </c>
      <c r="BB7" s="1483" t="s">
        <v>1331</v>
      </c>
      <c r="BC7" s="1483" t="s">
        <v>1294</v>
      </c>
      <c r="BE7" s="1483">
        <v>2005</v>
      </c>
      <c r="BF7" s="1483" t="s">
        <v>1332</v>
      </c>
      <c r="BH7" s="1430" t="s">
        <v>1333</v>
      </c>
      <c r="BJ7" s="1430" t="s">
        <v>1315</v>
      </c>
      <c r="BL7" s="1430" t="s">
        <v>1315</v>
      </c>
      <c r="BN7" s="1430" t="s">
        <v>1334</v>
      </c>
      <c r="BQ7" s="1647">
        <v>4213781</v>
      </c>
      <c r="BR7" s="1430" t="s">
        <v>1219</v>
      </c>
      <c r="BS7" s="1795"/>
      <c r="BT7" s="1647">
        <v>64236873</v>
      </c>
      <c r="BU7" s="1430" t="s">
        <v>243</v>
      </c>
      <c r="BV7" s="1432"/>
      <c r="BW7" s="2061">
        <v>4213769</v>
      </c>
      <c r="BX7" s="2059" t="s">
        <v>1335</v>
      </c>
      <c r="BZ7" s="1647">
        <v>64237511</v>
      </c>
      <c r="CA7" s="1430" t="s">
        <v>310</v>
      </c>
    </row>
    <row customHeight="1" ht="11.25">
      <c r="A8" s="1436" t="s">
        <v>1336</v>
      </c>
      <c r="B8" s="1437">
        <v>2006</v>
      </c>
      <c r="E8" s="1438" t="s">
        <v>1337</v>
      </c>
      <c r="F8" s="1455"/>
      <c r="H8" s="1439" t="s">
        <v>1338</v>
      </c>
      <c r="I8" s="1438" t="s">
        <v>92</v>
      </c>
      <c r="J8" s="1438" t="s">
        <v>1339</v>
      </c>
      <c r="N8" s="1526" t="s">
        <v>1340</v>
      </c>
      <c r="O8" s="1438" t="s">
        <v>1341</v>
      </c>
      <c r="V8" s="731" t="s">
        <v>92</v>
      </c>
      <c r="W8" s="1446"/>
      <c r="X8" s="1437" t="s">
        <v>190</v>
      </c>
      <c r="Y8" s="1437" t="s">
        <v>1285</v>
      </c>
      <c r="Z8" s="1453"/>
      <c r="AA8" s="1456"/>
      <c r="AK8" s="1438" t="s">
        <v>1342</v>
      </c>
      <c r="AP8" s="1449" t="s">
        <v>190</v>
      </c>
      <c r="AQ8" s="1450" t="s">
        <v>190</v>
      </c>
      <c r="AU8" s="1483" t="s">
        <v>1343</v>
      </c>
      <c r="AW8" s="1483" t="s">
        <v>1344</v>
      </c>
      <c r="AX8" s="1483" t="s">
        <v>1344</v>
      </c>
      <c r="AZ8" s="1483" t="s">
        <v>1345</v>
      </c>
      <c r="BB8" s="1483" t="s">
        <v>1346</v>
      </c>
      <c r="BC8" s="1483" t="s">
        <v>1294</v>
      </c>
      <c r="BE8" s="1483">
        <v>2006</v>
      </c>
      <c r="BF8" s="1483" t="s">
        <v>1347</v>
      </c>
      <c r="BH8" s="1430" t="s">
        <v>1348</v>
      </c>
      <c r="BJ8" s="1430" t="s">
        <v>1349</v>
      </c>
      <c r="BL8" s="1430" t="s">
        <v>1349</v>
      </c>
      <c r="BN8" s="1430" t="s">
        <v>1350</v>
      </c>
      <c r="BQ8" s="1647">
        <v>4213776</v>
      </c>
      <c r="BR8" s="1430" t="s">
        <v>172</v>
      </c>
      <c r="BS8" s="1795"/>
      <c r="BT8" s="1647">
        <v>64236874</v>
      </c>
      <c r="BU8" s="1661" t="s">
        <v>1351</v>
      </c>
      <c r="BV8" s="1432"/>
      <c r="BW8" s="2061">
        <v>4213770</v>
      </c>
      <c r="BX8" s="2062" t="s">
        <v>1352</v>
      </c>
      <c r="BZ8" s="1647">
        <v>64237512</v>
      </c>
      <c r="CA8" s="1430" t="s">
        <v>305</v>
      </c>
    </row>
    <row customHeight="1" ht="11.25">
      <c r="A9" s="1436" t="s">
        <v>1353</v>
      </c>
      <c r="B9" s="1437">
        <v>2007</v>
      </c>
      <c r="E9" s="1438" t="s">
        <v>1354</v>
      </c>
      <c r="F9" s="1455"/>
      <c r="G9" s="1429" t="s">
        <v>1355</v>
      </c>
      <c r="H9" s="1429" t="s">
        <v>1356</v>
      </c>
      <c r="I9" s="1438" t="s">
        <v>120</v>
      </c>
      <c r="O9" s="1438" t="s">
        <v>1357</v>
      </c>
      <c r="V9" s="731" t="s">
        <v>120</v>
      </c>
      <c r="W9" s="1446"/>
      <c r="X9" s="1437" t="s">
        <v>196</v>
      </c>
      <c r="Y9" s="1437" t="s">
        <v>1193</v>
      </c>
      <c r="Z9" s="1453">
        <v>1</v>
      </c>
      <c r="AA9" s="1456"/>
      <c r="AK9" s="1438" t="s">
        <v>1358</v>
      </c>
      <c r="AP9" s="1449" t="s">
        <v>1359</v>
      </c>
      <c r="AQ9" s="1450" t="s">
        <v>1359</v>
      </c>
      <c r="AW9" s="1483" t="s">
        <v>1360</v>
      </c>
      <c r="AX9" s="1483" t="s">
        <v>1360</v>
      </c>
      <c r="AZ9" s="1483" t="s">
        <v>1361</v>
      </c>
      <c r="BB9" s="1483" t="s">
        <v>1362</v>
      </c>
      <c r="BC9" s="1483" t="s">
        <v>1294</v>
      </c>
      <c r="BE9" s="1483">
        <v>2007</v>
      </c>
      <c r="BF9" s="1483" t="s">
        <v>1363</v>
      </c>
      <c r="BH9" s="1430" t="s">
        <v>1364</v>
      </c>
      <c r="BJ9" s="1430" t="s">
        <v>1365</v>
      </c>
      <c r="BL9" s="1430" t="s">
        <v>1365</v>
      </c>
      <c r="BN9" s="1430" t="s">
        <v>1366</v>
      </c>
      <c r="BQ9" s="1647">
        <v>4213777</v>
      </c>
      <c r="BR9" s="1430" t="s">
        <v>178</v>
      </c>
      <c r="BS9" s="1795"/>
      <c r="BT9" s="1647">
        <v>64236875</v>
      </c>
      <c r="BU9" s="1430" t="s">
        <v>248</v>
      </c>
      <c r="BV9" s="1432"/>
      <c r="BW9" s="2056"/>
      <c r="BX9" s="2056"/>
    </row>
    <row customHeight="1" ht="11.25">
      <c r="A10" s="1436" t="s">
        <v>1367</v>
      </c>
      <c r="B10" s="1437">
        <v>2008</v>
      </c>
      <c r="E10" s="1438" t="s">
        <v>1368</v>
      </c>
      <c r="F10" s="1455"/>
      <c r="G10" s="1438" t="s">
        <v>1369</v>
      </c>
      <c r="H10" s="1438" t="s">
        <v>1370</v>
      </c>
      <c r="I10" s="1438" t="s">
        <v>156</v>
      </c>
      <c r="J10" s="1429" t="s">
        <v>1371</v>
      </c>
      <c r="K10" s="1429" t="s">
        <v>1372</v>
      </c>
      <c r="O10" s="1438" t="s">
        <v>1373</v>
      </c>
      <c r="V10" s="732" t="s">
        <v>156</v>
      </c>
      <c r="W10" s="1459"/>
      <c r="X10" s="1459" t="s">
        <v>208</v>
      </c>
      <c r="Y10" s="1460" t="s">
        <v>1374</v>
      </c>
      <c r="Z10" s="1453"/>
      <c r="AP10" s="1449" t="s">
        <v>208</v>
      </c>
      <c r="AQ10" s="1450" t="s">
        <v>208</v>
      </c>
      <c r="AW10" s="1483" t="s">
        <v>1375</v>
      </c>
      <c r="AX10" s="1483" t="s">
        <v>1375</v>
      </c>
      <c r="AZ10" s="1483" t="s">
        <v>1376</v>
      </c>
      <c r="BB10" s="1483" t="s">
        <v>1377</v>
      </c>
      <c r="BC10" s="1483" t="s">
        <v>1294</v>
      </c>
      <c r="BE10" s="1483">
        <v>2008</v>
      </c>
      <c r="BF10" s="1483" t="s">
        <v>1378</v>
      </c>
      <c r="BH10" s="1430" t="s">
        <v>1379</v>
      </c>
      <c r="BJ10" s="1430" t="s">
        <v>1380</v>
      </c>
      <c r="BL10" s="1430" t="s">
        <v>1380</v>
      </c>
      <c r="BN10" s="1430" t="s">
        <v>1381</v>
      </c>
      <c r="BQ10" s="1647">
        <v>4213778</v>
      </c>
      <c r="BR10" s="1430" t="s">
        <v>184</v>
      </c>
      <c r="BS10" s="1795"/>
      <c r="BT10" s="1647">
        <v>64236876</v>
      </c>
      <c r="BU10" s="1430" t="s">
        <v>228</v>
      </c>
      <c r="BV10" s="1432"/>
      <c r="BW10" s="2056"/>
      <c r="BX10" s="2056"/>
    </row>
    <row customHeight="1" ht="11.25">
      <c r="A11" s="1436" t="s">
        <v>1382</v>
      </c>
      <c r="B11" s="1437">
        <v>2009</v>
      </c>
      <c r="E11" s="1438" t="s">
        <v>1383</v>
      </c>
      <c r="F11" s="1455"/>
      <c r="G11" s="1438" t="s">
        <v>1384</v>
      </c>
      <c r="H11" s="1438" t="s">
        <v>1385</v>
      </c>
      <c r="I11" s="1438" t="s">
        <v>157</v>
      </c>
      <c r="J11" s="1439" t="s">
        <v>1386</v>
      </c>
      <c r="K11" s="1461" t="s">
        <v>1387</v>
      </c>
      <c r="O11" s="1439" t="s">
        <v>1388</v>
      </c>
      <c r="V11" s="731" t="s">
        <v>157</v>
      </c>
      <c r="W11" s="636"/>
      <c r="X11" s="1446" t="s">
        <v>1359</v>
      </c>
      <c r="Y11" s="1437" t="s">
        <v>1389</v>
      </c>
      <c r="Z11" s="1453"/>
      <c r="AP11" s="1449" t="s">
        <v>196</v>
      </c>
      <c r="AQ11" s="1451" t="s">
        <v>196</v>
      </c>
      <c r="AW11" s="1483" t="s">
        <v>1390</v>
      </c>
      <c r="AX11" s="1483" t="s">
        <v>1390</v>
      </c>
      <c r="AZ11" s="1483" t="s">
        <v>1391</v>
      </c>
      <c r="BB11" s="1483" t="s">
        <v>1392</v>
      </c>
      <c r="BC11" s="1483" t="s">
        <v>1294</v>
      </c>
      <c r="BE11" s="1483">
        <v>2009</v>
      </c>
      <c r="BF11" s="1483" t="s">
        <v>1393</v>
      </c>
      <c r="BH11" s="1430" t="s">
        <v>1394</v>
      </c>
      <c r="BJ11" s="1430" t="s">
        <v>1364</v>
      </c>
      <c r="BL11" s="1430" t="s">
        <v>1364</v>
      </c>
      <c r="BN11" s="1430" t="s">
        <v>1395</v>
      </c>
      <c r="BQ11" s="1647">
        <v>4213780</v>
      </c>
      <c r="BR11" s="1430" t="s">
        <v>190</v>
      </c>
      <c r="BS11" s="1795"/>
      <c r="BW11" s="2056"/>
      <c r="BX11" s="2056"/>
    </row>
    <row customHeight="1" ht="11.25">
      <c r="A12" s="1436" t="s">
        <v>1396</v>
      </c>
      <c r="B12" s="1437">
        <v>2010</v>
      </c>
      <c r="E12" s="1438" t="s">
        <v>1397</v>
      </c>
      <c r="F12" s="1455"/>
      <c r="G12" s="1438" t="s">
        <v>1385</v>
      </c>
      <c r="I12" s="1438" t="s">
        <v>105</v>
      </c>
      <c r="J12" s="1439" t="s">
        <v>1398</v>
      </c>
      <c r="K12" s="1461" t="s">
        <v>1399</v>
      </c>
      <c r="O12" s="1439" t="s">
        <v>1187</v>
      </c>
      <c r="V12" s="731" t="s">
        <v>105</v>
      </c>
      <c r="W12" s="1451"/>
      <c r="X12" s="1446" t="s">
        <v>1400</v>
      </c>
      <c r="Y12" s="1437" t="s">
        <v>1193</v>
      </c>
      <c r="AP12" s="1449"/>
      <c r="AW12" s="1483" t="s">
        <v>157</v>
      </c>
      <c r="AX12" s="1483" t="s">
        <v>157</v>
      </c>
      <c r="AZ12" s="1483" t="s">
        <v>1401</v>
      </c>
      <c r="BB12" s="1483" t="s">
        <v>1402</v>
      </c>
      <c r="BC12" s="1483" t="s">
        <v>1294</v>
      </c>
      <c r="BE12" s="1483">
        <v>2010</v>
      </c>
      <c r="BF12" s="1483" t="s">
        <v>1403</v>
      </c>
      <c r="BH12" s="1430" t="s">
        <v>1404</v>
      </c>
      <c r="BJ12" s="1430" t="s">
        <v>1405</v>
      </c>
      <c r="BL12" s="1430" t="s">
        <v>1405</v>
      </c>
      <c r="BN12" s="1430" t="s">
        <v>1406</v>
      </c>
      <c r="BQ12" s="1647">
        <v>4213779</v>
      </c>
      <c r="BR12" s="1430" t="s">
        <v>1359</v>
      </c>
      <c r="BS12" s="1795"/>
      <c r="BT12" s="1432"/>
      <c r="BU12" s="1432"/>
      <c r="BV12" s="1432"/>
      <c r="BW12" s="2056"/>
      <c r="BX12" s="2056"/>
    </row>
    <row customHeight="1" ht="11.25">
      <c r="A13" s="1436" t="s">
        <v>1407</v>
      </c>
      <c r="B13" s="1437">
        <v>2011</v>
      </c>
      <c r="E13" s="1438" t="s">
        <v>1408</v>
      </c>
      <c r="F13" s="1455"/>
      <c r="I13" s="1438" t="s">
        <v>158</v>
      </c>
      <c r="K13" s="1461" t="s">
        <v>1358</v>
      </c>
      <c r="V13" s="731" t="s">
        <v>158</v>
      </c>
      <c r="W13" s="1451"/>
      <c r="X13" s="1451"/>
      <c r="Y13" s="1451"/>
      <c r="AW13" s="1483" t="s">
        <v>105</v>
      </c>
      <c r="AX13" s="1483" t="s">
        <v>105</v>
      </c>
      <c r="BB13" s="1483" t="s">
        <v>1409</v>
      </c>
      <c r="BC13" s="1483" t="s">
        <v>1410</v>
      </c>
      <c r="BE13" s="1483">
        <v>2011</v>
      </c>
      <c r="BF13" s="1483" t="s">
        <v>1411</v>
      </c>
      <c r="BH13" s="1430" t="s">
        <v>1412</v>
      </c>
      <c r="BJ13" s="1430" t="s">
        <v>1394</v>
      </c>
      <c r="BL13" s="1430" t="s">
        <v>1394</v>
      </c>
      <c r="BN13" s="1430" t="s">
        <v>1413</v>
      </c>
      <c r="BQ13" s="1647">
        <v>4213783</v>
      </c>
      <c r="BR13" s="1430" t="s">
        <v>208</v>
      </c>
      <c r="BS13" s="1795"/>
      <c r="BT13" s="1432"/>
      <c r="BU13" s="1432"/>
      <c r="BV13" s="1432"/>
      <c r="BW13" s="2060"/>
      <c r="BX13" s="2056"/>
    </row>
    <row customHeight="1" ht="11.25">
      <c r="A14" s="1436" t="s">
        <v>1414</v>
      </c>
      <c r="B14" s="1437">
        <v>2012</v>
      </c>
      <c r="I14" s="1438" t="s">
        <v>159</v>
      </c>
      <c r="J14" s="1429" t="s">
        <v>1415</v>
      </c>
      <c r="N14" s="1429" t="s">
        <v>1416</v>
      </c>
      <c r="V14" s="1445">
        <v>13</v>
      </c>
      <c r="W14" s="1446"/>
      <c r="X14" s="1446" t="s">
        <v>1226</v>
      </c>
      <c r="Y14" s="1437" t="s">
        <v>1193</v>
      </c>
      <c r="AW14" s="1483" t="s">
        <v>158</v>
      </c>
      <c r="AX14" s="1483" t="s">
        <v>158</v>
      </c>
      <c r="AZ14" s="1429" t="s">
        <v>1417</v>
      </c>
      <c r="BB14" s="1483" t="s">
        <v>1418</v>
      </c>
      <c r="BC14" s="1483" t="s">
        <v>1410</v>
      </c>
      <c r="BE14" s="1483">
        <v>2012</v>
      </c>
      <c r="BH14" s="1430" t="s">
        <v>1334</v>
      </c>
      <c r="BJ14" s="1582" t="s">
        <v>1419</v>
      </c>
      <c r="BL14" s="1582" t="s">
        <v>1419</v>
      </c>
      <c r="BN14" s="1430" t="s">
        <v>1420</v>
      </c>
      <c r="BQ14" s="1647">
        <v>4213782</v>
      </c>
      <c r="BR14" s="1430" t="s">
        <v>196</v>
      </c>
      <c r="BS14" s="1795"/>
      <c r="BT14" s="1432"/>
      <c r="BU14" s="1432"/>
      <c r="BV14" s="1432"/>
      <c r="BW14" s="2060"/>
      <c r="BX14" s="2056"/>
    </row>
    <row customHeight="1" ht="19.5">
      <c r="A15" s="1436" t="s">
        <v>1421</v>
      </c>
      <c r="B15" s="1437">
        <v>2013</v>
      </c>
      <c r="E15" s="2064" t="s">
        <v>1422</v>
      </c>
      <c r="G15" s="1429" t="s">
        <v>1423</v>
      </c>
      <c r="H15" s="1429" t="s">
        <v>1424</v>
      </c>
      <c r="I15" s="1440" t="s">
        <v>110</v>
      </c>
      <c r="J15" s="1451" t="s">
        <v>624</v>
      </c>
      <c r="N15" s="1521" t="s">
        <v>1425</v>
      </c>
      <c r="X15" s="1449"/>
      <c r="AW15" s="1483" t="s">
        <v>159</v>
      </c>
      <c r="AX15" s="1483" t="s">
        <v>159</v>
      </c>
      <c r="AZ15" s="1483" t="s">
        <v>1345</v>
      </c>
      <c r="BB15" s="1483" t="s">
        <v>1426</v>
      </c>
      <c r="BC15" s="1483" t="s">
        <v>1410</v>
      </c>
      <c r="BE15" s="1483">
        <v>2013</v>
      </c>
      <c r="BH15" s="1430" t="s">
        <v>1350</v>
      </c>
      <c r="BJ15" s="1582" t="s">
        <v>1427</v>
      </c>
      <c r="BL15" s="1582" t="s">
        <v>1427</v>
      </c>
      <c r="BN15" s="1430" t="s">
        <v>1428</v>
      </c>
      <c r="BR15" s="1432"/>
      <c r="BS15" s="1797"/>
      <c r="BT15" s="1432"/>
      <c r="BU15" s="1432"/>
      <c r="BV15" s="1432"/>
      <c r="BW15" s="2060"/>
      <c r="BX15" s="2056"/>
    </row>
    <row customHeight="1" ht="21">
      <c r="A16" s="2237" t="s">
        <v>1429</v>
      </c>
      <c r="B16" s="1437">
        <v>2014</v>
      </c>
      <c r="E16" s="2065" t="s">
        <v>1430</v>
      </c>
      <c r="G16" s="1438" t="s">
        <v>1431</v>
      </c>
      <c r="H16" s="1438" t="s">
        <v>1432</v>
      </c>
      <c r="I16" s="1440" t="s">
        <v>1433</v>
      </c>
      <c r="J16" s="1451" t="s">
        <v>597</v>
      </c>
      <c r="N16" s="1521" t="s">
        <v>1434</v>
      </c>
      <c r="AW16" s="1483" t="s">
        <v>110</v>
      </c>
      <c r="AX16" s="1483" t="s">
        <v>110</v>
      </c>
      <c r="AZ16" s="1483" t="s">
        <v>1361</v>
      </c>
      <c r="BB16" s="1483" t="s">
        <v>1435</v>
      </c>
      <c r="BC16" s="1483" t="s">
        <v>1410</v>
      </c>
      <c r="BE16" s="1483">
        <v>2014</v>
      </c>
      <c r="BH16" s="1430" t="s">
        <v>1366</v>
      </c>
      <c r="BJ16" s="1582" t="s">
        <v>1436</v>
      </c>
      <c r="BL16" s="1582" t="s">
        <v>1436</v>
      </c>
      <c r="BN16" s="1430" t="s">
        <v>1437</v>
      </c>
      <c r="BR16" s="1432"/>
      <c r="BS16" s="1797"/>
      <c r="BT16" s="1432"/>
      <c r="BU16" s="1432"/>
      <c r="BV16" s="1432"/>
      <c r="BW16" s="2060"/>
      <c r="BX16" s="2056"/>
    </row>
    <row customHeight="1" ht="21">
      <c r="A17" s="1436" t="s">
        <v>1438</v>
      </c>
      <c r="B17" s="1437">
        <v>2015</v>
      </c>
      <c r="G17" s="1438" t="s">
        <v>1385</v>
      </c>
      <c r="H17" s="1438" t="s">
        <v>1385</v>
      </c>
      <c r="I17" s="1438" t="s">
        <v>98</v>
      </c>
      <c r="N17" s="1521" t="s">
        <v>1439</v>
      </c>
      <c r="X17" s="1449"/>
      <c r="AW17" s="1483" t="s">
        <v>1433</v>
      </c>
      <c r="AX17" s="1483" t="s">
        <v>1433</v>
      </c>
      <c r="AZ17" s="1483" t="s">
        <v>1440</v>
      </c>
      <c r="BB17" s="1483" t="s">
        <v>1441</v>
      </c>
      <c r="BC17" s="1483" t="s">
        <v>1294</v>
      </c>
      <c r="BE17" s="1483">
        <v>2015</v>
      </c>
      <c r="BH17" s="1430" t="s">
        <v>1381</v>
      </c>
      <c r="BJ17" s="1582" t="s">
        <v>1442</v>
      </c>
      <c r="BL17" s="1582" t="s">
        <v>1442</v>
      </c>
      <c r="BN17" s="1430" t="s">
        <v>1443</v>
      </c>
      <c r="BR17" s="1429" t="s">
        <v>1237</v>
      </c>
      <c r="BS17" s="1794"/>
      <c r="BU17" s="1429" t="s">
        <v>1444</v>
      </c>
      <c r="BV17" s="1432"/>
      <c r="BW17" s="2056"/>
      <c r="BX17" s="2058" t="s">
        <v>1445</v>
      </c>
      <c r="CA17" s="1429" t="s">
        <v>1446</v>
      </c>
      <c r="CD17" s="1429" t="s">
        <v>1447</v>
      </c>
    </row>
    <row customHeight="1" ht="21">
      <c r="A18" s="1436" t="s">
        <v>1448</v>
      </c>
      <c r="B18" s="1437">
        <v>2016</v>
      </c>
      <c r="I18" s="1438" t="s">
        <v>1449</v>
      </c>
      <c r="N18" s="1521" t="s">
        <v>1450</v>
      </c>
      <c r="X18" s="1449"/>
      <c r="AW18" s="1483" t="s">
        <v>98</v>
      </c>
      <c r="AX18" s="1483" t="s">
        <v>98</v>
      </c>
      <c r="BB18" s="1483" t="s">
        <v>1451</v>
      </c>
      <c r="BC18" s="1483" t="s">
        <v>1294</v>
      </c>
      <c r="BE18" s="1483">
        <v>2016</v>
      </c>
      <c r="BH18" s="1430" t="s">
        <v>1395</v>
      </c>
      <c r="BJ18" s="1582" t="s">
        <v>1452</v>
      </c>
      <c r="BL18" s="1582" t="s">
        <v>1452</v>
      </c>
      <c r="BN18" s="1430" t="s">
        <v>1453</v>
      </c>
      <c r="BQ18" s="1798" t="s">
        <v>1267</v>
      </c>
      <c r="BR18" s="1522" t="s">
        <v>1268</v>
      </c>
      <c r="BS18" s="635"/>
      <c r="BT18" s="1798" t="s">
        <v>1454</v>
      </c>
      <c r="BU18" s="1522" t="s">
        <v>1455</v>
      </c>
      <c r="BV18" s="1432"/>
      <c r="BW18" s="2063" t="s">
        <v>1456</v>
      </c>
      <c r="BX18" s="2057" t="s">
        <v>1457</v>
      </c>
      <c r="BZ18" s="1798" t="s">
        <v>1458</v>
      </c>
      <c r="CA18" s="1522" t="s">
        <v>1459</v>
      </c>
      <c r="CC18" s="1798" t="s">
        <v>1460</v>
      </c>
      <c r="CD18" s="1522" t="s">
        <v>1461</v>
      </c>
    </row>
    <row customHeight="1" ht="21">
      <c r="A19" s="2237" t="s">
        <v>1462</v>
      </c>
      <c r="B19" s="1437">
        <v>2017</v>
      </c>
      <c r="I19" s="1438" t="s">
        <v>1463</v>
      </c>
      <c r="N19" s="1521" t="s">
        <v>1464</v>
      </c>
      <c r="X19" s="1449"/>
      <c r="AW19" s="1483" t="s">
        <v>1449</v>
      </c>
      <c r="AX19" s="1483" t="s">
        <v>1449</v>
      </c>
      <c r="AZ19" s="1429" t="s">
        <v>1465</v>
      </c>
      <c r="BB19" s="1483" t="s">
        <v>1466</v>
      </c>
      <c r="BC19" s="1483" t="s">
        <v>1294</v>
      </c>
      <c r="BE19" s="1483">
        <v>2017</v>
      </c>
      <c r="BH19" s="1430" t="s">
        <v>1467</v>
      </c>
      <c r="BJ19" s="1582" t="s">
        <v>1468</v>
      </c>
      <c r="BL19" s="1582" t="s">
        <v>1468</v>
      </c>
      <c r="BQ19" s="1647">
        <v>4190064</v>
      </c>
      <c r="BR19" s="1430" t="s">
        <v>1469</v>
      </c>
      <c r="BS19" s="1795"/>
      <c r="BT19" s="1647">
        <v>4189671</v>
      </c>
      <c r="BU19" s="1430" t="s">
        <v>1470</v>
      </c>
      <c r="BV19" s="1432"/>
      <c r="BW19" s="2061">
        <v>4189706</v>
      </c>
      <c r="BX19" s="2059" t="s">
        <v>1471</v>
      </c>
      <c r="BZ19" s="1647">
        <v>4189714</v>
      </c>
      <c r="CA19" s="1430" t="s">
        <v>1472</v>
      </c>
      <c r="CC19" s="1647">
        <v>4189708</v>
      </c>
      <c r="CD19" s="1430" t="s">
        <v>1473</v>
      </c>
    </row>
    <row customHeight="1" ht="21">
      <c r="A20" s="1436" t="s">
        <v>1474</v>
      </c>
      <c r="B20" s="1437">
        <v>2018</v>
      </c>
      <c r="I20" s="1438" t="s">
        <v>1475</v>
      </c>
      <c r="N20" s="1521" t="s">
        <v>1476</v>
      </c>
      <c r="AW20" s="1483" t="s">
        <v>1463</v>
      </c>
      <c r="AX20" s="1483" t="s">
        <v>1463</v>
      </c>
      <c r="AZ20" s="1483" t="s">
        <v>1477</v>
      </c>
      <c r="BB20" s="1483" t="s">
        <v>1478</v>
      </c>
      <c r="BC20" s="1483" t="s">
        <v>1410</v>
      </c>
      <c r="BE20" s="1483">
        <v>2018</v>
      </c>
      <c r="BH20" s="1430" t="s">
        <v>1406</v>
      </c>
      <c r="BJ20" s="1430" t="s">
        <v>1334</v>
      </c>
      <c r="BL20" s="1430" t="s">
        <v>1334</v>
      </c>
      <c r="BQ20" s="1647">
        <v>4190065</v>
      </c>
      <c r="BR20" s="1430" t="s">
        <v>1479</v>
      </c>
      <c r="BS20" s="1795"/>
      <c r="BT20" s="1647">
        <v>4189672</v>
      </c>
      <c r="BU20" s="1430" t="s">
        <v>1480</v>
      </c>
      <c r="BV20" s="1432"/>
      <c r="BW20" s="2061">
        <v>4189705</v>
      </c>
      <c r="BX20" s="2059" t="s">
        <v>1481</v>
      </c>
      <c r="BZ20" s="1647">
        <v>4189713</v>
      </c>
      <c r="CA20" s="1430" t="s">
        <v>1481</v>
      </c>
      <c r="CC20" s="1647">
        <v>4189709</v>
      </c>
      <c r="CD20" s="1430" t="s">
        <v>1482</v>
      </c>
    </row>
    <row customHeight="1" ht="21">
      <c r="A21" s="1436" t="s">
        <v>1483</v>
      </c>
      <c r="B21" s="1437">
        <v>2019</v>
      </c>
      <c r="I21" s="1438" t="s">
        <v>1484</v>
      </c>
      <c r="N21" s="1521" t="s">
        <v>1485</v>
      </c>
      <c r="AW21" s="1483" t="s">
        <v>1475</v>
      </c>
      <c r="AX21" s="1483" t="s">
        <v>1475</v>
      </c>
      <c r="AZ21" s="1483" t="s">
        <v>1486</v>
      </c>
      <c r="BB21" s="1483" t="s">
        <v>1487</v>
      </c>
      <c r="BC21" s="1483" t="s">
        <v>1294</v>
      </c>
      <c r="BE21" s="1483">
        <v>2019</v>
      </c>
      <c r="BH21" s="1430" t="s">
        <v>1413</v>
      </c>
      <c r="BJ21" s="1430" t="s">
        <v>1350</v>
      </c>
      <c r="BL21" s="1430" t="s">
        <v>1350</v>
      </c>
      <c r="BQ21" s="1647">
        <v>4190066</v>
      </c>
      <c r="BR21" s="1430" t="s">
        <v>1488</v>
      </c>
      <c r="BS21" s="1795"/>
      <c r="BT21" s="1647">
        <v>4189673</v>
      </c>
      <c r="BU21" s="1430" t="s">
        <v>1489</v>
      </c>
      <c r="BV21" s="1432"/>
      <c r="BW21" s="2061">
        <v>4189707</v>
      </c>
      <c r="BX21" s="2059" t="s">
        <v>1490</v>
      </c>
      <c r="BZ21" s="1647">
        <v>4189712</v>
      </c>
      <c r="CA21" s="1430" t="s">
        <v>1491</v>
      </c>
      <c r="CC21" s="1647">
        <v>4189710</v>
      </c>
      <c r="CD21" s="1430" t="s">
        <v>1492</v>
      </c>
    </row>
    <row customHeight="1" ht="21">
      <c r="A22" s="1436" t="s">
        <v>1493</v>
      </c>
      <c r="B22" s="1437">
        <v>2020</v>
      </c>
      <c r="N22" s="1521" t="s">
        <v>1494</v>
      </c>
      <c r="AW22" s="1483" t="s">
        <v>1484</v>
      </c>
      <c r="AX22" s="1483" t="s">
        <v>1484</v>
      </c>
      <c r="AZ22" s="1483" t="s">
        <v>1495</v>
      </c>
      <c r="BB22" s="1483" t="s">
        <v>1496</v>
      </c>
      <c r="BC22" s="1483" t="s">
        <v>1294</v>
      </c>
      <c r="BE22" s="1483">
        <v>2020</v>
      </c>
      <c r="BH22" s="1430" t="s">
        <v>1420</v>
      </c>
      <c r="BJ22" s="1430" t="s">
        <v>1366</v>
      </c>
      <c r="BL22" s="1430" t="s">
        <v>1366</v>
      </c>
      <c r="BQ22" s="1647">
        <v>4190067</v>
      </c>
      <c r="BR22" s="1430" t="s">
        <v>1497</v>
      </c>
      <c r="BS22" s="1795"/>
      <c r="BT22" s="1647">
        <v>4189674</v>
      </c>
      <c r="BU22" s="1430" t="s">
        <v>1498</v>
      </c>
      <c r="BV22" s="1432"/>
      <c r="BW22" s="1432"/>
      <c r="CC22" s="1647">
        <v>4189711</v>
      </c>
      <c r="CD22" s="1430" t="s">
        <v>334</v>
      </c>
    </row>
    <row customHeight="1" ht="21">
      <c r="A23" s="1436" t="s">
        <v>1499</v>
      </c>
      <c r="B23" s="1437">
        <v>2021</v>
      </c>
      <c r="AW23" s="1483" t="s">
        <v>1500</v>
      </c>
      <c r="AX23" s="1483" t="s">
        <v>1500</v>
      </c>
      <c r="AZ23" s="1483" t="s">
        <v>1501</v>
      </c>
      <c r="BB23" s="1483" t="s">
        <v>1502</v>
      </c>
      <c r="BC23" s="1483" t="s">
        <v>1204</v>
      </c>
      <c r="BE23" s="1483">
        <v>2021</v>
      </c>
      <c r="BH23" s="1430" t="s">
        <v>1428</v>
      </c>
      <c r="BJ23" s="1430" t="s">
        <v>1381</v>
      </c>
      <c r="BL23" s="1430" t="s">
        <v>1381</v>
      </c>
      <c r="BQ23" s="1647">
        <v>4190068</v>
      </c>
      <c r="BR23" s="1430" t="s">
        <v>1503</v>
      </c>
      <c r="BS23" s="1795"/>
      <c r="BT23" s="1647">
        <v>4189675</v>
      </c>
      <c r="BU23" s="1430" t="s">
        <v>1504</v>
      </c>
      <c r="BV23" s="1432"/>
      <c r="BW23" s="1432"/>
      <c r="CC23" s="1647">
        <v>5110778</v>
      </c>
      <c r="CD23" s="1430" t="s">
        <v>1505</v>
      </c>
    </row>
    <row customHeight="1" ht="21">
      <c r="A24" s="1436" t="s">
        <v>1506</v>
      </c>
      <c r="B24" s="1437">
        <v>2022</v>
      </c>
      <c r="AW24" s="1483" t="s">
        <v>1507</v>
      </c>
      <c r="AX24" s="1483" t="s">
        <v>1507</v>
      </c>
      <c r="AZ24" s="1483" t="s">
        <v>1508</v>
      </c>
      <c r="BB24" s="1483" t="s">
        <v>1509</v>
      </c>
      <c r="BC24" s="1483" t="s">
        <v>1510</v>
      </c>
      <c r="BE24" s="1483">
        <v>2022</v>
      </c>
      <c r="BH24" s="1430" t="s">
        <v>1437</v>
      </c>
      <c r="BJ24" s="1430" t="s">
        <v>1395</v>
      </c>
      <c r="BL24" s="1430" t="s">
        <v>1395</v>
      </c>
      <c r="BQ24" s="1647">
        <v>4190069</v>
      </c>
      <c r="BR24" s="1430" t="s">
        <v>1511</v>
      </c>
      <c r="BS24" s="1795"/>
      <c r="BT24" s="1647">
        <v>4189676</v>
      </c>
      <c r="BU24" s="1430" t="s">
        <v>1512</v>
      </c>
      <c r="BV24" s="1432"/>
      <c r="BW24" s="1432"/>
      <c r="CC24" s="1647">
        <v>25575374</v>
      </c>
      <c r="CD24" s="1430" t="s">
        <v>1513</v>
      </c>
    </row>
    <row customHeight="1" ht="11.25">
      <c r="A25" s="1436" t="s">
        <v>1514</v>
      </c>
      <c r="B25" s="1437">
        <v>2023</v>
      </c>
      <c r="AW25" s="1483" t="s">
        <v>1515</v>
      </c>
      <c r="AX25" s="1483" t="s">
        <v>1515</v>
      </c>
      <c r="AZ25" s="1483" t="s">
        <v>1516</v>
      </c>
      <c r="BB25" s="1483" t="s">
        <v>1517</v>
      </c>
      <c r="BC25" s="1483" t="s">
        <v>1510</v>
      </c>
      <c r="BE25" s="1483">
        <v>2023</v>
      </c>
      <c r="BH25" s="1430" t="s">
        <v>1443</v>
      </c>
      <c r="BJ25" s="1430" t="s">
        <v>1467</v>
      </c>
      <c r="BL25" s="1430" t="s">
        <v>1467</v>
      </c>
      <c r="BQ25" s="1647">
        <v>4190070</v>
      </c>
      <c r="BR25" s="1430" t="s">
        <v>1518</v>
      </c>
      <c r="BS25" s="1795"/>
      <c r="BT25" s="1647">
        <v>4189677</v>
      </c>
      <c r="BU25" s="1430" t="s">
        <v>1519</v>
      </c>
      <c r="BV25" s="1432"/>
      <c r="BW25" s="1432"/>
    </row>
    <row customHeight="1" ht="11.25">
      <c r="A26" s="1436" t="s">
        <v>1520</v>
      </c>
      <c r="B26" s="1437">
        <v>2024</v>
      </c>
      <c r="J26" s="2097" t="s">
        <v>1521</v>
      </c>
      <c r="AX26" s="1483" t="s">
        <v>1522</v>
      </c>
      <c r="AZ26" s="1483" t="s">
        <v>1388</v>
      </c>
      <c r="BB26" s="1483" t="s">
        <v>1523</v>
      </c>
      <c r="BC26" s="1483" t="s">
        <v>1510</v>
      </c>
      <c r="BE26" s="1483">
        <v>2024</v>
      </c>
      <c r="BH26" s="1430" t="s">
        <v>1453</v>
      </c>
      <c r="BJ26" s="1430" t="s">
        <v>1406</v>
      </c>
      <c r="BL26" s="1430" t="s">
        <v>1406</v>
      </c>
      <c r="BQ26" s="1647">
        <v>4190071</v>
      </c>
      <c r="BR26" s="1430" t="s">
        <v>1524</v>
      </c>
      <c r="BS26" s="1795"/>
      <c r="BV26" s="1432"/>
      <c r="BW26" s="1432"/>
    </row>
    <row customHeight="1" ht="11.25">
      <c r="A27" s="1436" t="s">
        <v>1525</v>
      </c>
      <c r="B27" s="1437">
        <v>2025</v>
      </c>
      <c r="J27" s="538" t="s">
        <v>103</v>
      </c>
      <c r="AX27" s="1483" t="s">
        <v>1526</v>
      </c>
      <c r="BB27" s="1483" t="s">
        <v>1527</v>
      </c>
      <c r="BC27" s="1483" t="s">
        <v>1510</v>
      </c>
      <c r="BE27" s="1483">
        <v>2025</v>
      </c>
      <c r="BH27" s="1432" t="s">
        <v>24</v>
      </c>
      <c r="BJ27" s="1430" t="s">
        <v>1413</v>
      </c>
      <c r="BL27" s="1430" t="s">
        <v>1413</v>
      </c>
      <c r="BN27" s="1432" t="s">
        <v>24</v>
      </c>
      <c r="BQ27" s="1647">
        <v>4190072</v>
      </c>
      <c r="BR27" s="1430" t="s">
        <v>1528</v>
      </c>
      <c r="BS27" s="1795"/>
      <c r="BV27" s="1432"/>
      <c r="BW27" s="1432"/>
    </row>
    <row customHeight="1" ht="11.25">
      <c r="A28" s="1436" t="s">
        <v>1529</v>
      </c>
      <c r="D28" s="1463"/>
      <c r="E28" s="1464"/>
      <c r="F28" s="1464"/>
      <c r="H28" s="1465" t="s">
        <v>1530</v>
      </c>
      <c r="AX28" s="1483" t="s">
        <v>1531</v>
      </c>
      <c r="AZ28" s="1429" t="s">
        <v>1532</v>
      </c>
      <c r="BB28" s="1483" t="s">
        <v>1533</v>
      </c>
      <c r="BC28" s="1483" t="s">
        <v>1534</v>
      </c>
      <c r="BE28" s="1483">
        <v>2026</v>
      </c>
      <c r="BH28" s="1432" t="s">
        <v>24</v>
      </c>
      <c r="BJ28" s="1430" t="s">
        <v>1420</v>
      </c>
      <c r="BL28" s="1430" t="s">
        <v>1420</v>
      </c>
      <c r="BN28" s="1432" t="s">
        <v>24</v>
      </c>
      <c r="BQ28" s="1647">
        <v>4190073</v>
      </c>
      <c r="BR28" s="1430" t="s">
        <v>1535</v>
      </c>
      <c r="BS28" s="1795"/>
      <c r="BV28" s="1432"/>
      <c r="BW28" s="1432"/>
    </row>
    <row customHeight="1" ht="11.25">
      <c r="A29" s="1436" t="s">
        <v>1536</v>
      </c>
      <c r="D29" s="1466" t="s">
        <v>1537</v>
      </c>
      <c r="E29" s="1467" t="str">
        <f>IF(TEMPLATE_GROUP="","",INDEX(StartDateList,MATCH(TEMPLATE_GROUP,CodeTemplateList,0),1))</f>
        <v>44896</v>
      </c>
      <c r="F29" s="1467" t="str">
        <f>IF(TEMPLATE_GROUP="","",INDEX(EndDateList,MATCH(TEMPLATE_GROUP,CodeTemplateList,0),1))</f>
        <v>47118</v>
      </c>
      <c r="H29" s="1468" t="s">
        <v>1538</v>
      </c>
      <c r="AX29" s="1483" t="s">
        <v>1539</v>
      </c>
      <c r="AZ29" s="1483" t="s">
        <v>1188</v>
      </c>
      <c r="BB29" s="1483" t="s">
        <v>1388</v>
      </c>
      <c r="BC29" s="1453"/>
      <c r="BE29" s="1483">
        <v>2027</v>
      </c>
      <c r="BJ29" s="1430" t="s">
        <v>1428</v>
      </c>
      <c r="BL29" s="1430" t="s">
        <v>1428</v>
      </c>
    </row>
    <row customHeight="1" ht="11.25">
      <c r="A30" s="1436" t="s">
        <v>1540</v>
      </c>
      <c r="D30" s="1469"/>
      <c r="E30" s="1470"/>
      <c r="F30" s="1470"/>
      <c r="AX30" s="1483" t="s">
        <v>1541</v>
      </c>
      <c r="AZ30" s="1483" t="s">
        <v>1215</v>
      </c>
      <c r="BE30" s="1483">
        <v>2028</v>
      </c>
      <c r="BJ30" s="1430" t="s">
        <v>1542</v>
      </c>
      <c r="BL30" s="1430" t="s">
        <v>1542</v>
      </c>
    </row>
    <row customHeight="1" ht="12.75">
      <c r="A31" s="1436" t="s">
        <v>1543</v>
      </c>
      <c r="D31" s="1463"/>
      <c r="E31" s="1464"/>
      <c r="F31" s="1464"/>
      <c r="H31" s="1471"/>
      <c r="AX31" s="1483" t="s">
        <v>1544</v>
      </c>
      <c r="AZ31" s="1483" t="s">
        <v>583</v>
      </c>
      <c r="BE31" s="1483">
        <v>2029</v>
      </c>
      <c r="BJ31" s="1430" t="s">
        <v>1545</v>
      </c>
      <c r="BL31" s="1430" t="s">
        <v>1545</v>
      </c>
    </row>
    <row customHeight="1" ht="11.25">
      <c r="A32" s="1436" t="s">
        <v>1546</v>
      </c>
      <c r="D32" s="1466" t="s">
        <v>1547</v>
      </c>
      <c r="E32" s="1467" t="str">
        <f>IF(TEMPLATE_GROUP="","",INDEX(StartDateList,MATCH(TEMPLATE_GROUP,CodeTemplateList,0),1))</f>
        <v>44896</v>
      </c>
      <c r="F32" s="1467" t="str">
        <f>IF(TEMPLATE_GROUP="","",INDEX(EndDateList,MATCH(TEMPLATE_GROUP,CodeTemplateList,0),1))</f>
        <v>47118</v>
      </c>
      <c r="H32" s="1472" t="s">
        <v>1548</v>
      </c>
      <c r="O32" s="1436" t="s">
        <v>1185</v>
      </c>
      <c r="AX32" s="1483" t="s">
        <v>1549</v>
      </c>
      <c r="AZ32" s="1483" t="s">
        <v>582</v>
      </c>
      <c r="BE32" s="1483">
        <v>2030</v>
      </c>
      <c r="BJ32" s="1430" t="s">
        <v>1437</v>
      </c>
      <c r="BL32" s="1430" t="s">
        <v>1437</v>
      </c>
    </row>
    <row customHeight="1" ht="11.25">
      <c r="A33" s="1436" t="s">
        <v>1550</v>
      </c>
      <c r="O33" s="1436" t="s">
        <v>1213</v>
      </c>
      <c r="AX33" s="1483" t="s">
        <v>1551</v>
      </c>
      <c r="AZ33" s="1483" t="s">
        <v>1187</v>
      </c>
      <c r="BE33" s="1483">
        <v>2031</v>
      </c>
      <c r="BJ33" s="1430" t="s">
        <v>1443</v>
      </c>
      <c r="BL33" s="1430" t="s">
        <v>1443</v>
      </c>
    </row>
    <row customHeight="1" ht="11.25">
      <c r="A34" s="1436" t="s">
        <v>1552</v>
      </c>
      <c r="O34" s="1436" t="s">
        <v>1248</v>
      </c>
      <c r="AX34" s="1483" t="s">
        <v>1553</v>
      </c>
      <c r="BE34" s="1483">
        <v>2032</v>
      </c>
      <c r="BJ34" s="1430" t="s">
        <v>1453</v>
      </c>
      <c r="BL34" s="1430" t="s">
        <v>1453</v>
      </c>
    </row>
    <row customHeight="1" ht="11.25">
      <c r="A35" s="1436" t="s">
        <v>1554</v>
      </c>
      <c r="O35" s="1436" t="s">
        <v>1281</v>
      </c>
      <c r="AX35" s="1483" t="s">
        <v>1555</v>
      </c>
      <c r="AZ35" s="1429" t="s">
        <v>1556</v>
      </c>
      <c r="BE35" s="1483">
        <v>2033</v>
      </c>
      <c r="BL35" s="1430" t="s">
        <v>1557</v>
      </c>
    </row>
    <row customHeight="1" ht="11.25">
      <c r="A36" s="2237" t="s">
        <v>1558</v>
      </c>
      <c r="D36" s="1473" t="s">
        <v>1559</v>
      </c>
      <c r="E36" s="1474" t="s">
        <v>850</v>
      </c>
      <c r="F36" s="1475" t="str">
        <f>INDEX(E37:E41,MATCH(TEMPLATE_SPHERE,F37:F41,0))</f>
        <v>горячего водоснабжения</v>
      </c>
      <c r="G36" s="1475" t="str">
        <f>INDEX(G37:G41,MATCH(TEMPLATE_SPHERE,F37:F41,0))</f>
        <v>горячее водоснабжение</v>
      </c>
      <c r="O36" s="1436" t="s">
        <v>1305</v>
      </c>
      <c r="AX36" s="1483" t="s">
        <v>1560</v>
      </c>
      <c r="AZ36" s="1483" t="s">
        <v>1187</v>
      </c>
      <c r="BE36" s="1483">
        <v>2034</v>
      </c>
      <c r="BL36" s="1430" t="s">
        <v>1561</v>
      </c>
    </row>
    <row customHeight="1" ht="11.25">
      <c r="A37" s="1436" t="s">
        <v>1562</v>
      </c>
      <c r="E37" s="768" t="s">
        <v>1563</v>
      </c>
      <c r="F37" s="1476" t="s">
        <v>763</v>
      </c>
      <c r="G37" s="768" t="s">
        <v>1564</v>
      </c>
      <c r="O37" s="1436" t="s">
        <v>1324</v>
      </c>
      <c r="AX37" s="1483" t="s">
        <v>1565</v>
      </c>
      <c r="AZ37" s="1483" t="s">
        <v>1214</v>
      </c>
      <c r="BE37" s="1483">
        <v>2035</v>
      </c>
    </row>
    <row customHeight="1" ht="11.25">
      <c r="A38" s="1436" t="s">
        <v>1566</v>
      </c>
      <c r="E38" s="768" t="s">
        <v>1567</v>
      </c>
      <c r="F38" s="1477" t="s">
        <v>809</v>
      </c>
      <c r="G38" s="768" t="s">
        <v>1568</v>
      </c>
      <c r="O38" s="1436" t="s">
        <v>1341</v>
      </c>
      <c r="AX38" s="1483" t="s">
        <v>1569</v>
      </c>
      <c r="AZ38" s="1483" t="s">
        <v>1249</v>
      </c>
      <c r="BE38" s="1483">
        <v>2036</v>
      </c>
      <c r="BH38" s="1429" t="s">
        <v>1570</v>
      </c>
      <c r="BJ38" s="1429" t="s">
        <v>1571</v>
      </c>
      <c r="BL38" s="1429" t="s">
        <v>1572</v>
      </c>
      <c r="BN38" s="1429" t="s">
        <v>1573</v>
      </c>
    </row>
    <row customHeight="1" ht="11.25">
      <c r="A39" s="1436" t="s">
        <v>14</v>
      </c>
      <c r="E39" s="768" t="s">
        <v>1574</v>
      </c>
      <c r="F39" s="1477" t="s">
        <v>864</v>
      </c>
      <c r="G39" s="768" t="s">
        <v>1575</v>
      </c>
      <c r="O39" s="1436" t="s">
        <v>1357</v>
      </c>
      <c r="AX39" s="1483" t="s">
        <v>1576</v>
      </c>
      <c r="AZ39" s="1483" t="s">
        <v>1282</v>
      </c>
      <c r="BE39" s="1483">
        <v>2037</v>
      </c>
      <c r="BH39" s="1430" t="s">
        <v>1577</v>
      </c>
      <c r="BJ39" s="1582" t="s">
        <v>1577</v>
      </c>
      <c r="BL39" s="1582" t="s">
        <v>1577</v>
      </c>
      <c r="BN39" s="1430" t="s">
        <v>1578</v>
      </c>
    </row>
    <row customHeight="1" ht="11.25">
      <c r="A40" s="1436" t="s">
        <v>1579</v>
      </c>
      <c r="E40" s="768" t="s">
        <v>1580</v>
      </c>
      <c r="F40" s="1477" t="s">
        <v>850</v>
      </c>
      <c r="G40" s="768" t="s">
        <v>1581</v>
      </c>
      <c r="O40" s="1436" t="s">
        <v>1373</v>
      </c>
      <c r="AX40" s="1483" t="s">
        <v>1582</v>
      </c>
      <c r="BE40" s="1483">
        <v>2038</v>
      </c>
      <c r="BH40" s="1430" t="s">
        <v>1583</v>
      </c>
      <c r="BJ40" s="1582" t="s">
        <v>985</v>
      </c>
      <c r="BL40" s="1582" t="s">
        <v>985</v>
      </c>
      <c r="BN40" s="1430" t="s">
        <v>1019</v>
      </c>
    </row>
    <row customHeight="1" ht="11.25">
      <c r="A41" s="1436" t="s">
        <v>1584</v>
      </c>
      <c r="E41" s="768" t="s">
        <v>1585</v>
      </c>
      <c r="F41" s="1477" t="s">
        <v>1586</v>
      </c>
      <c r="G41" s="768" t="s">
        <v>1585</v>
      </c>
      <c r="O41" s="1436" t="s">
        <v>1388</v>
      </c>
      <c r="AX41" s="1483" t="s">
        <v>1587</v>
      </c>
      <c r="AZ41" s="1429" t="s">
        <v>1588</v>
      </c>
      <c r="BE41" s="1483">
        <v>2039</v>
      </c>
      <c r="BH41" s="1430" t="s">
        <v>1589</v>
      </c>
      <c r="BJ41" s="1582" t="s">
        <v>981</v>
      </c>
      <c r="BL41" s="1582" t="s">
        <v>981</v>
      </c>
      <c r="BN41" s="1430" t="s">
        <v>1006</v>
      </c>
    </row>
    <row customHeight="1" ht="11.25">
      <c r="A42" s="1436" t="s">
        <v>1590</v>
      </c>
      <c r="AX42" s="1483" t="s">
        <v>1591</v>
      </c>
      <c r="AZ42" s="1483" t="s">
        <v>1185</v>
      </c>
      <c r="BE42" s="1483">
        <v>2040</v>
      </c>
      <c r="BH42" s="1430" t="s">
        <v>1003</v>
      </c>
      <c r="BJ42" s="1582" t="s">
        <v>983</v>
      </c>
      <c r="BL42" s="1582" t="s">
        <v>983</v>
      </c>
      <c r="BN42" s="1430" t="s">
        <v>1592</v>
      </c>
    </row>
    <row customHeight="1" ht="11.25">
      <c r="A43" s="1436" t="s">
        <v>1593</v>
      </c>
      <c r="AX43" s="1483" t="s">
        <v>1594</v>
      </c>
      <c r="AZ43" s="1483" t="s">
        <v>1213</v>
      </c>
      <c r="BE43" s="1483">
        <v>2041</v>
      </c>
      <c r="BH43" s="1430" t="s">
        <v>1595</v>
      </c>
      <c r="BJ43" s="1582" t="s">
        <v>1589</v>
      </c>
      <c r="BL43" s="1582" t="s">
        <v>1589</v>
      </c>
      <c r="BN43" s="1430" t="s">
        <v>1596</v>
      </c>
    </row>
    <row customHeight="1" ht="11.25">
      <c r="A44" s="1436" t="s">
        <v>1597</v>
      </c>
      <c r="I44" s="1160" t="s">
        <v>1598</v>
      </c>
      <c r="J44" s="1451" t="s">
        <v>1599</v>
      </c>
      <c r="K44" s="1451" t="s">
        <v>1600</v>
      </c>
      <c r="AX44" s="1483" t="s">
        <v>1601</v>
      </c>
      <c r="AZ44" s="1483" t="s">
        <v>1248</v>
      </c>
      <c r="BE44" s="1483">
        <v>2042</v>
      </c>
      <c r="BH44" s="1430" t="s">
        <v>1602</v>
      </c>
      <c r="BJ44" s="1582" t="s">
        <v>1003</v>
      </c>
      <c r="BL44" s="1582" t="s">
        <v>1003</v>
      </c>
      <c r="BN44" s="1430" t="s">
        <v>1603</v>
      </c>
    </row>
    <row customHeight="1" ht="11.25">
      <c r="A45" s="1436" t="s">
        <v>1604</v>
      </c>
      <c r="D45" s="1473" t="s">
        <v>1605</v>
      </c>
      <c r="E45" s="1474" t="s">
        <v>1606</v>
      </c>
      <c r="F45" s="1158" t="s">
        <v>1607</v>
      </c>
      <c r="G45" s="1157" t="s">
        <v>1608</v>
      </c>
      <c r="H45" s="1160" t="s">
        <v>1609</v>
      </c>
      <c r="I45" s="2107">
        <f>INDEX(PeriodIsEmptyList,MATCH(TEMPLATE_GROUP,CodeTemplateList,0),1)</f>
        <v>0</v>
      </c>
      <c r="J45" s="2110" t="str">
        <f>INDEX(NameTemplatesInTitleList,MATCH(TEMPLATE_GROUP,CodeTemplateList,0),1)</f>
        <v>Показатели, подлежащие раскрытию в сфере горячего водоснабжения (цены и тарифы)</v>
      </c>
      <c r="K45" s="211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483" t="s">
        <v>1610</v>
      </c>
      <c r="AZ45" s="1483" t="s">
        <v>1281</v>
      </c>
      <c r="BE45" s="1483">
        <v>2043</v>
      </c>
      <c r="BH45" s="1430" t="s">
        <v>1611</v>
      </c>
      <c r="BJ45" s="1582" t="s">
        <v>997</v>
      </c>
      <c r="BL45" s="1582" t="s">
        <v>997</v>
      </c>
      <c r="BN45" s="1430" t="s">
        <v>1612</v>
      </c>
    </row>
    <row customHeight="1" ht="11.25">
      <c r="A46" s="1436" t="s">
        <v>1613</v>
      </c>
      <c r="E46" s="768" t="s">
        <v>22</v>
      </c>
      <c r="F46" s="1476" t="s">
        <v>1614</v>
      </c>
      <c r="G46" s="1478"/>
      <c r="H46" s="1478"/>
      <c r="I46" s="2108">
        <f>IF(TITLE_DATE_FIL="",TRUE,FALSE)</f>
        <v>1</v>
      </c>
      <c r="J46" s="2111" t="str">
        <f>"Общая информация о регулируемой организации ("&amp;TEMPLATE_SPHERE_RUS&amp;")"</f>
        <v>Общая информация о регулируемой организации (горячего водоснабжения)</v>
      </c>
      <c r="K46" s="2112"/>
      <c r="AX46" s="1483" t="s">
        <v>1615</v>
      </c>
      <c r="AZ46" s="1483" t="s">
        <v>1305</v>
      </c>
      <c r="BE46" s="1483">
        <v>2044</v>
      </c>
      <c r="BH46" s="1430" t="s">
        <v>1006</v>
      </c>
      <c r="BJ46" s="1582" t="s">
        <v>987</v>
      </c>
      <c r="BL46" s="1582" t="s">
        <v>987</v>
      </c>
      <c r="BN46" s="1430" t="s">
        <v>1616</v>
      </c>
    </row>
    <row customHeight="1" ht="11.25">
      <c r="A47" s="1436" t="s">
        <v>1617</v>
      </c>
      <c r="E47" s="768" t="s">
        <v>29</v>
      </c>
      <c r="F47" s="1477" t="s">
        <v>1618</v>
      </c>
      <c r="G47" s="1479" t="str">
        <f>IF(f_year="","",IF(LEN(f_quart)=0,"",IF(f_quart="I квартал","01.01."&amp;f_year,IF(f_quart="II квартал","01.04."&amp;f_year,(IF(f_quart="III квартал","01.07."&amp;f_year,"01.10."&amp;f_year))))))</f>
        <v/>
      </c>
      <c r="H47" s="1479" t="str">
        <f>IF(f_year="","",IF(LEN(f_quart)=0,"",IF(f_quart="I квартал","31.03."&amp;f_year,IF(f_quart="II квартал","30.06."&amp;f_year,(IF(f_quart="III квартал","30.09."&amp;f_year,"31.12."&amp;f_year))))))</f>
        <v/>
      </c>
      <c r="I47" s="2109">
        <f>IF(OR(f_year="",f_quart=""),TRUE,FALSE)</f>
        <v>1</v>
      </c>
      <c r="J47" s="211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2112"/>
      <c r="AX47" s="1483" t="s">
        <v>1619</v>
      </c>
      <c r="AZ47" s="1483" t="s">
        <v>1324</v>
      </c>
      <c r="BE47" s="1483">
        <v>2045</v>
      </c>
      <c r="BH47" s="1430" t="s">
        <v>1592</v>
      </c>
      <c r="BJ47" s="1582" t="s">
        <v>989</v>
      </c>
      <c r="BL47" s="1582" t="s">
        <v>989</v>
      </c>
      <c r="BN47" s="1430" t="s">
        <v>1620</v>
      </c>
    </row>
    <row customHeight="1" ht="11.25">
      <c r="A48" s="1436" t="s">
        <v>1621</v>
      </c>
      <c r="E48" s="768" t="s">
        <v>1622</v>
      </c>
      <c r="F48" s="1477" t="s">
        <v>1623</v>
      </c>
      <c r="G48" s="1479" t="str">
        <f>IF(f_year="","","01.01."&amp;f_year)</f>
        <v/>
      </c>
      <c r="H48" s="1479" t="str">
        <f>IF(f_year="","","31.12."&amp;f_year)</f>
        <v/>
      </c>
      <c r="I48" s="2108">
        <f>IF(f_year="",TRUE,FALSE)</f>
        <v>1</v>
      </c>
      <c r="J48" s="2111" t="s">
        <v>1624</v>
      </c>
      <c r="K48" s="2112"/>
      <c r="AX48" s="1483" t="s">
        <v>1625</v>
      </c>
      <c r="AZ48" s="1483" t="s">
        <v>1341</v>
      </c>
      <c r="BE48" s="1483">
        <v>2046</v>
      </c>
      <c r="BH48" s="1430" t="s">
        <v>1596</v>
      </c>
      <c r="BJ48" s="1582" t="s">
        <v>991</v>
      </c>
      <c r="BL48" s="1582" t="s">
        <v>991</v>
      </c>
      <c r="BN48" s="1430" t="s">
        <v>1626</v>
      </c>
    </row>
    <row customHeight="1" ht="11.25">
      <c r="A49" s="1436" t="s">
        <v>1627</v>
      </c>
      <c r="E49" s="768" t="s">
        <v>1628</v>
      </c>
      <c r="F49" s="1477" t="s">
        <v>1629</v>
      </c>
      <c r="G49" s="1479" t="str">
        <f>IF(f_year="","","01.01."&amp;f_year)</f>
        <v/>
      </c>
      <c r="H49" s="1479" t="str">
        <f>IF(f_year="","","31.12."&amp;f_year)</f>
        <v/>
      </c>
      <c r="I49" s="2108">
        <f>IF(f_year="",TRUE,FALSE)</f>
        <v>1</v>
      </c>
      <c r="J49" s="211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2112"/>
      <c r="AX49" s="1483" t="s">
        <v>1630</v>
      </c>
      <c r="AZ49" s="1483" t="s">
        <v>1357</v>
      </c>
      <c r="BE49" s="1483">
        <v>2047</v>
      </c>
      <c r="BH49" s="1430" t="s">
        <v>1007</v>
      </c>
      <c r="BJ49" s="1582" t="s">
        <v>993</v>
      </c>
      <c r="BL49" s="1582" t="s">
        <v>993</v>
      </c>
    </row>
    <row customHeight="1" ht="11.25">
      <c r="A50" s="1436" t="s">
        <v>1631</v>
      </c>
      <c r="E50" s="768" t="s">
        <v>1632</v>
      </c>
      <c r="F50" s="1477" t="s">
        <v>977</v>
      </c>
      <c r="G50" s="1479" t="str">
        <f>IF(f_year="","","01.01."&amp;f_year)</f>
        <v/>
      </c>
      <c r="H50" s="1479" t="str">
        <f>IF(f_year="","","31.12."&amp;f_year)</f>
        <v/>
      </c>
      <c r="I50" s="2108">
        <f>IF(f_year="",TRUE,FALSE)</f>
        <v>1</v>
      </c>
      <c r="J50" s="211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2112"/>
      <c r="AX50" s="1483" t="s">
        <v>1633</v>
      </c>
      <c r="AZ50" s="1483" t="s">
        <v>1373</v>
      </c>
      <c r="BE50" s="1483">
        <v>2048</v>
      </c>
      <c r="BH50" s="1430" t="s">
        <v>1603</v>
      </c>
      <c r="BJ50" s="1582" t="s">
        <v>995</v>
      </c>
      <c r="BL50" s="1582" t="s">
        <v>995</v>
      </c>
    </row>
    <row customHeight="1" ht="11.25">
      <c r="A51" s="1436" t="s">
        <v>1634</v>
      </c>
      <c r="E51" s="768" t="s">
        <v>1635</v>
      </c>
      <c r="F51" s="1477" t="s">
        <v>1636</v>
      </c>
      <c r="G51" s="1479" t="str">
        <f>IF(TITLE_PERIOD_START="","",TITLE_PERIOD_START)</f>
        <v>44896</v>
      </c>
      <c r="H51" s="1479" t="str">
        <f>IF(TITLE_PERIOD_END="","",TITLE_PERIOD_END)</f>
        <v>47118</v>
      </c>
      <c r="I51" s="2109">
        <f>IF(OR(TITLE_PERIOD_START="",TITLE_PERIOD_END=""),TRUE,FALSE)</f>
        <v>0</v>
      </c>
      <c r="J51" s="211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2112"/>
      <c r="AX51" s="1483" t="s">
        <v>1637</v>
      </c>
      <c r="AZ51" s="1483" t="s">
        <v>1388</v>
      </c>
      <c r="BE51" s="1483">
        <v>2049</v>
      </c>
      <c r="BH51" s="1430" t="s">
        <v>1612</v>
      </c>
      <c r="BJ51" s="1582" t="s">
        <v>1638</v>
      </c>
      <c r="BL51" s="1582" t="s">
        <v>1638</v>
      </c>
    </row>
    <row customHeight="1" ht="11.25">
      <c r="A52" s="1436" t="s">
        <v>1639</v>
      </c>
      <c r="E52" s="768" t="s">
        <v>1640</v>
      </c>
      <c r="F52" s="1477" t="s">
        <v>1606</v>
      </c>
      <c r="G52" s="1479" t="str">
        <f>IF(TITLE_PERIOD_START="","",TITLE_PERIOD_START)</f>
        <v>44896</v>
      </c>
      <c r="H52" s="1479" t="str">
        <f>IF(TITLE_PERIOD_END="","",TITLE_PERIOD_END)</f>
        <v>47118</v>
      </c>
      <c r="I52" s="2109">
        <f>IF(OR(TITLE_PERIOD_START="",TITLE_PERIOD_END=""),TRUE,FALSE)</f>
        <v>0</v>
      </c>
      <c r="J52" s="2111"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2112"/>
      <c r="AX52" s="1483" t="s">
        <v>1641</v>
      </c>
      <c r="AZ52" s="1483" t="s">
        <v>1187</v>
      </c>
      <c r="BE52" s="1483">
        <v>2050</v>
      </c>
      <c r="BH52" s="1430" t="s">
        <v>1616</v>
      </c>
      <c r="BJ52" s="1582" t="s">
        <v>1006</v>
      </c>
      <c r="BL52" s="1582" t="s">
        <v>1006</v>
      </c>
    </row>
    <row customHeight="1" ht="11.25">
      <c r="A53" s="1436" t="s">
        <v>1642</v>
      </c>
      <c r="E53" s="768" t="s">
        <v>1643</v>
      </c>
      <c r="F53" s="1477" t="s">
        <v>1643</v>
      </c>
      <c r="G53" s="1479" t="str">
        <f>IF(f_year="","","01.01."&amp;f_year)</f>
        <v/>
      </c>
      <c r="H53" s="1479" t="str">
        <f>IF(f_year="","","31.12."&amp;f_year)</f>
        <v/>
      </c>
      <c r="I53" s="2108">
        <f>IF(AND(f_year="",TITLE_DATE_FIL=""),TRUE,FALSE)</f>
        <v>1</v>
      </c>
      <c r="J53" s="2111" t="s">
        <v>1644</v>
      </c>
      <c r="K53" s="2112"/>
      <c r="AX53" s="1483" t="s">
        <v>1645</v>
      </c>
      <c r="BE53" s="1483">
        <v>2051</v>
      </c>
      <c r="BH53" s="1430" t="s">
        <v>1620</v>
      </c>
      <c r="BJ53" s="1582" t="s">
        <v>1592</v>
      </c>
      <c r="BL53" s="1582" t="s">
        <v>1592</v>
      </c>
    </row>
    <row customHeight="1" ht="11.25">
      <c r="A54" s="1436" t="s">
        <v>1646</v>
      </c>
      <c r="AX54" s="1483" t="s">
        <v>1647</v>
      </c>
      <c r="AZ54" s="1429" t="s">
        <v>1648</v>
      </c>
      <c r="BE54" s="1483">
        <v>2052</v>
      </c>
      <c r="BH54" s="1430" t="s">
        <v>1626</v>
      </c>
      <c r="BJ54" s="1582" t="s">
        <v>1596</v>
      </c>
      <c r="BL54" s="1582" t="s">
        <v>1596</v>
      </c>
    </row>
    <row customHeight="1" ht="11.25">
      <c r="A55" s="1436" t="s">
        <v>1649</v>
      </c>
      <c r="AX55" s="1483" t="s">
        <v>1650</v>
      </c>
      <c r="AZ55" s="1483" t="s">
        <v>1189</v>
      </c>
      <c r="BE55" s="1483">
        <v>2053</v>
      </c>
      <c r="BH55" s="1432" t="s">
        <v>24</v>
      </c>
      <c r="BJ55" s="1582" t="s">
        <v>1007</v>
      </c>
      <c r="BL55" s="1582" t="s">
        <v>1007</v>
      </c>
    </row>
    <row customHeight="1" ht="11.25">
      <c r="A56" s="1436" t="s">
        <v>1651</v>
      </c>
      <c r="D56" s="1481" t="s">
        <v>1652</v>
      </c>
      <c r="E56" s="1457">
        <v>57</v>
      </c>
      <c r="F56" s="1436" t="s">
        <v>1653</v>
      </c>
      <c r="AX56" s="1483" t="s">
        <v>1654</v>
      </c>
      <c r="AZ56" s="1483" t="s">
        <v>1216</v>
      </c>
      <c r="BE56" s="1483">
        <v>2054</v>
      </c>
      <c r="BH56" s="1432" t="s">
        <v>24</v>
      </c>
      <c r="BJ56" s="1582" t="s">
        <v>1603</v>
      </c>
      <c r="BL56" s="1582" t="s">
        <v>1603</v>
      </c>
    </row>
    <row customHeight="1" ht="11.25">
      <c r="A57" s="1436" t="s">
        <v>1655</v>
      </c>
      <c r="D57" s="1481" t="s">
        <v>1656</v>
      </c>
      <c r="E57" s="1457">
        <v>66</v>
      </c>
      <c r="F57" s="1436" t="s">
        <v>1653</v>
      </c>
      <c r="AX57" s="1483" t="s">
        <v>1657</v>
      </c>
      <c r="AZ57" s="1483" t="s">
        <v>1251</v>
      </c>
      <c r="BE57" s="1483">
        <v>2055</v>
      </c>
      <c r="BJ57" s="1582" t="s">
        <v>1612</v>
      </c>
      <c r="BL57" s="1582" t="s">
        <v>1612</v>
      </c>
    </row>
    <row customHeight="1" ht="11.25">
      <c r="A58" s="1436" t="s">
        <v>1658</v>
      </c>
      <c r="D58" s="1481" t="s">
        <v>1659</v>
      </c>
      <c r="E58" s="1457">
        <v>44</v>
      </c>
      <c r="F58" s="1436" t="s">
        <v>1653</v>
      </c>
      <c r="AX58" s="1483" t="s">
        <v>1660</v>
      </c>
      <c r="BE58" s="1483">
        <v>2056</v>
      </c>
      <c r="BJ58" s="1582" t="s">
        <v>1616</v>
      </c>
      <c r="BL58" s="1582" t="s">
        <v>1616</v>
      </c>
    </row>
    <row customHeight="1" ht="11.25">
      <c r="A59" s="1436" t="s">
        <v>1661</v>
      </c>
      <c r="D59" s="1481" t="s">
        <v>139</v>
      </c>
      <c r="E59" s="1457" t="s">
        <v>1484</v>
      </c>
      <c r="F59" s="1436" t="s">
        <v>1662</v>
      </c>
      <c r="AX59" s="1483" t="s">
        <v>1663</v>
      </c>
      <c r="AZ59" s="1429" t="s">
        <v>1664</v>
      </c>
      <c r="BE59" s="1483">
        <v>2057</v>
      </c>
      <c r="BJ59" s="1582" t="s">
        <v>1620</v>
      </c>
      <c r="BL59" s="1582" t="s">
        <v>1620</v>
      </c>
    </row>
    <row customHeight="1" ht="11.25">
      <c r="A60" s="1436" t="s">
        <v>1665</v>
      </c>
      <c r="D60" s="1481" t="s">
        <v>1666</v>
      </c>
      <c r="E60" s="1457" t="s">
        <v>1484</v>
      </c>
      <c r="F60" s="1436" t="s">
        <v>1662</v>
      </c>
      <c r="AX60" s="1483" t="s">
        <v>1667</v>
      </c>
      <c r="AZ60" s="1483" t="s">
        <v>1190</v>
      </c>
      <c r="BE60" s="1483">
        <v>2058</v>
      </c>
      <c r="BJ60" s="1582" t="s">
        <v>1626</v>
      </c>
      <c r="BL60" s="1582" t="s">
        <v>1626</v>
      </c>
    </row>
    <row customHeight="1" ht="11.25">
      <c r="A61" s="1436" t="s">
        <v>1668</v>
      </c>
      <c r="D61" s="1481" t="s">
        <v>1669</v>
      </c>
      <c r="E61" s="1457">
        <v>28</v>
      </c>
      <c r="F61" s="1436" t="s">
        <v>1662</v>
      </c>
      <c r="AX61" s="1483" t="s">
        <v>1670</v>
      </c>
      <c r="AZ61" s="1483" t="s">
        <v>1217</v>
      </c>
      <c r="BE61" s="1483">
        <v>2059</v>
      </c>
      <c r="BL61" s="1582" t="s">
        <v>999</v>
      </c>
    </row>
    <row customHeight="1" ht="11.25">
      <c r="A62" s="1436" t="s">
        <v>1671</v>
      </c>
      <c r="D62" s="1481" t="s">
        <v>138</v>
      </c>
      <c r="E62" s="1457">
        <v>38</v>
      </c>
      <c r="F62" s="1436" t="s">
        <v>1662</v>
      </c>
      <c r="AZ62" s="1483" t="s">
        <v>1252</v>
      </c>
      <c r="BE62" s="1483">
        <v>2060</v>
      </c>
      <c r="BL62" s="1582" t="s">
        <v>1001</v>
      </c>
    </row>
    <row customHeight="1" ht="11.25">
      <c r="A63" s="1436" t="s">
        <v>1672</v>
      </c>
      <c r="D63" s="1481" t="s">
        <v>1673</v>
      </c>
      <c r="E63" s="1457">
        <v>38</v>
      </c>
      <c r="F63" s="1436" t="s">
        <v>1662</v>
      </c>
      <c r="AZ63" s="1483" t="s">
        <v>1283</v>
      </c>
      <c r="BE63" s="1483">
        <v>2061</v>
      </c>
    </row>
    <row customHeight="1" ht="11.25">
      <c r="A64" s="1436" t="s">
        <v>1674</v>
      </c>
      <c r="D64" s="1481" t="s">
        <v>1675</v>
      </c>
      <c r="E64" s="1457">
        <v>38</v>
      </c>
      <c r="F64" s="1436" t="s">
        <v>1662</v>
      </c>
      <c r="AZ64" s="1483" t="s">
        <v>1306</v>
      </c>
      <c r="BE64" s="1483">
        <v>2062</v>
      </c>
    </row>
    <row customHeight="1" ht="11.25">
      <c r="A65" s="1436" t="s">
        <v>1676</v>
      </c>
      <c r="D65" s="1436"/>
      <c r="BE65" s="1483">
        <v>2063</v>
      </c>
    </row>
    <row customHeight="1" ht="11.25">
      <c r="A66" s="1436" t="s">
        <v>1677</v>
      </c>
      <c r="AZ66" s="1429" t="s">
        <v>1678</v>
      </c>
      <c r="BE66" s="1483">
        <v>2064</v>
      </c>
    </row>
    <row customHeight="1" ht="11.25">
      <c r="A67" s="1436" t="s">
        <v>1679</v>
      </c>
      <c r="AZ67" s="1483" t="s">
        <v>1191</v>
      </c>
      <c r="BE67" s="1483">
        <v>2065</v>
      </c>
    </row>
    <row customHeight="1" ht="11.25">
      <c r="A68" s="1436" t="s">
        <v>1680</v>
      </c>
      <c r="AZ68" s="1483" t="s">
        <v>1218</v>
      </c>
      <c r="BE68" s="1483">
        <v>2066</v>
      </c>
      <c r="BH68" s="1429" t="s">
        <v>1681</v>
      </c>
      <c r="BJ68" s="1429" t="s">
        <v>1682</v>
      </c>
      <c r="BL68" s="1429" t="s">
        <v>1683</v>
      </c>
      <c r="BN68" s="1429" t="s">
        <v>1684</v>
      </c>
    </row>
    <row customHeight="1" ht="11.25">
      <c r="A69" s="1436" t="s">
        <v>1685</v>
      </c>
      <c r="AZ69" s="1483" t="s">
        <v>1253</v>
      </c>
      <c r="BE69" s="1483">
        <v>2067</v>
      </c>
      <c r="BH69" s="1430" t="s">
        <v>1686</v>
      </c>
      <c r="BI69" s="1480" t="s">
        <v>118</v>
      </c>
      <c r="BJ69" s="1430" t="s">
        <v>1687</v>
      </c>
      <c r="BK69" s="1480" t="s">
        <v>118</v>
      </c>
      <c r="BL69" s="1430" t="s">
        <v>1688</v>
      </c>
      <c r="BN69" s="1430" t="s">
        <v>1689</v>
      </c>
    </row>
    <row customHeight="1" ht="11.25">
      <c r="A70" s="1436" t="s">
        <v>1690</v>
      </c>
      <c r="AZ70" s="1483" t="s">
        <v>1284</v>
      </c>
      <c r="BE70" s="1483">
        <v>2068</v>
      </c>
      <c r="BH70" s="1430" t="s">
        <v>1691</v>
      </c>
      <c r="BJ70" s="1430" t="s">
        <v>1692</v>
      </c>
      <c r="BL70" s="1430" t="s">
        <v>1693</v>
      </c>
      <c r="BN70" s="1430" t="s">
        <v>1694</v>
      </c>
    </row>
    <row customHeight="1" ht="11.25">
      <c r="A71" s="1436" t="s">
        <v>1695</v>
      </c>
      <c r="AZ71" s="1483" t="s">
        <v>1286</v>
      </c>
      <c r="BE71" s="1483">
        <v>2069</v>
      </c>
      <c r="BH71" s="1430" t="s">
        <v>1696</v>
      </c>
      <c r="BI71" s="1480" t="s">
        <v>89</v>
      </c>
      <c r="BJ71" s="1430" t="s">
        <v>1697</v>
      </c>
      <c r="BK71" s="1480" t="s">
        <v>89</v>
      </c>
      <c r="BL71" s="1430" t="s">
        <v>1698</v>
      </c>
      <c r="BN71" s="1430" t="s">
        <v>1699</v>
      </c>
    </row>
    <row customHeight="1" ht="11.25">
      <c r="A72" s="1436" t="s">
        <v>1700</v>
      </c>
      <c r="AZ72" s="1483" t="s">
        <v>56</v>
      </c>
      <c r="BE72" s="1483">
        <v>2070</v>
      </c>
      <c r="BH72" s="1430" t="s">
        <v>1701</v>
      </c>
      <c r="BJ72" s="1430" t="s">
        <v>1701</v>
      </c>
      <c r="BL72" s="1430" t="s">
        <v>1701</v>
      </c>
      <c r="BN72" s="1430" t="s">
        <v>1702</v>
      </c>
    </row>
    <row customHeight="1" ht="11.25">
      <c r="A73" s="1436" t="s">
        <v>1703</v>
      </c>
      <c r="BH73" s="1430" t="s">
        <v>1704</v>
      </c>
      <c r="BI73" s="1480" t="s">
        <v>119</v>
      </c>
      <c r="BJ73" s="1430" t="s">
        <v>1705</v>
      </c>
      <c r="BK73" s="1480" t="s">
        <v>119</v>
      </c>
      <c r="BL73" s="1430" t="s">
        <v>1706</v>
      </c>
      <c r="BN73" s="1430" t="s">
        <v>1707</v>
      </c>
    </row>
    <row customHeight="1" ht="11.25">
      <c r="A74" s="1436" t="s">
        <v>1708</v>
      </c>
      <c r="BH74" s="1430" t="s">
        <v>1709</v>
      </c>
      <c r="BJ74" s="1430" t="s">
        <v>1710</v>
      </c>
      <c r="BL74" s="1430" t="s">
        <v>1711</v>
      </c>
      <c r="BN74" s="1430" t="s">
        <v>1712</v>
      </c>
    </row>
    <row customHeight="1" ht="11.25">
      <c r="A75" s="1436" t="s">
        <v>1713</v>
      </c>
      <c r="AZ75" s="1429" t="s">
        <v>1714</v>
      </c>
      <c r="BH75" s="1430" t="s">
        <v>1715</v>
      </c>
      <c r="BJ75" s="1430" t="s">
        <v>1715</v>
      </c>
      <c r="BL75" s="1430" t="s">
        <v>1715</v>
      </c>
    </row>
    <row customHeight="1" ht="11.25">
      <c r="A76" s="1436" t="s">
        <v>1716</v>
      </c>
      <c r="AZ76" s="1483" t="s">
        <v>1200</v>
      </c>
      <c r="BH76" s="1430" t="s">
        <v>1717</v>
      </c>
      <c r="BJ76" s="1430" t="s">
        <v>1718</v>
      </c>
      <c r="BL76" s="1430" t="s">
        <v>1719</v>
      </c>
    </row>
    <row customHeight="1" ht="11.25">
      <c r="A77" s="1436" t="s">
        <v>1720</v>
      </c>
      <c r="AZ77" s="1483" t="s">
        <v>1228</v>
      </c>
    </row>
    <row customHeight="1" ht="11.25">
      <c r="A78" s="1436" t="s">
        <v>1721</v>
      </c>
      <c r="AZ78" s="1483" t="s">
        <v>1260</v>
      </c>
    </row>
    <row customHeight="1" ht="11.25">
      <c r="A79" s="1436" t="s">
        <v>1722</v>
      </c>
      <c r="AZ79" s="1483" t="s">
        <v>1290</v>
      </c>
      <c r="BH79" s="1429" t="s">
        <v>1723</v>
      </c>
      <c r="BJ79" s="1429" t="s">
        <v>1724</v>
      </c>
      <c r="BL79" s="1429" t="s">
        <v>1725</v>
      </c>
    </row>
    <row customHeight="1" ht="11.25">
      <c r="A80" s="1436" t="s">
        <v>1726</v>
      </c>
      <c r="AZ80" s="1483" t="s">
        <v>1311</v>
      </c>
      <c r="BH80" s="1430" t="s">
        <v>1727</v>
      </c>
      <c r="BJ80" s="1430" t="s">
        <v>1728</v>
      </c>
      <c r="BL80" s="1430" t="s">
        <v>1729</v>
      </c>
    </row>
    <row customHeight="1" ht="11.25">
      <c r="A81" s="1436" t="s">
        <v>1730</v>
      </c>
      <c r="AZ81" s="1483" t="s">
        <v>1328</v>
      </c>
      <c r="BH81" s="1430" t="s">
        <v>1731</v>
      </c>
      <c r="BJ81" s="1430" t="s">
        <v>1732</v>
      </c>
      <c r="BL81" s="1430" t="s">
        <v>1733</v>
      </c>
    </row>
    <row customHeight="1" ht="11.25">
      <c r="A82" s="1436" t="s">
        <v>1734</v>
      </c>
      <c r="AZ82" s="1483" t="s">
        <v>1343</v>
      </c>
      <c r="BH82" s="1430" t="s">
        <v>1735</v>
      </c>
      <c r="BJ82" s="1430" t="s">
        <v>1736</v>
      </c>
      <c r="BL82" s="1430" t="s">
        <v>1737</v>
      </c>
    </row>
    <row customHeight="1" ht="11.25">
      <c r="A83" s="1436" t="s">
        <v>1738</v>
      </c>
      <c r="BH83" s="1430" t="s">
        <v>1739</v>
      </c>
      <c r="BJ83" s="1430" t="s">
        <v>1740</v>
      </c>
      <c r="BL83" s="1430" t="s">
        <v>1741</v>
      </c>
    </row>
    <row customHeight="1" ht="11.25">
      <c r="A84" s="1436" t="s">
        <v>1742</v>
      </c>
      <c r="AZ84" s="1429" t="s">
        <v>1743</v>
      </c>
    </row>
    <row customHeight="1" ht="11.25">
      <c r="A85" s="2237" t="s">
        <v>1744</v>
      </c>
      <c r="AZ85" s="1483" t="s">
        <v>1745</v>
      </c>
    </row>
    <row customHeight="1" ht="11.25">
      <c r="A86" s="1436" t="s">
        <v>1746</v>
      </c>
      <c r="AZ86" s="1483" t="s">
        <v>1747</v>
      </c>
      <c r="BH86" s="1429" t="s">
        <v>1748</v>
      </c>
      <c r="BJ86" s="1429" t="s">
        <v>1749</v>
      </c>
      <c r="BL86" s="1429" t="s">
        <v>1750</v>
      </c>
    </row>
    <row customHeight="1" ht="11.25">
      <c r="A87" s="1436" t="s">
        <v>1751</v>
      </c>
      <c r="AZ87" s="1483" t="s">
        <v>1752</v>
      </c>
      <c r="BH87" s="1430" t="s">
        <v>1753</v>
      </c>
      <c r="BJ87" s="1430" t="s">
        <v>1754</v>
      </c>
      <c r="BL87" s="1430" t="s">
        <v>1755</v>
      </c>
    </row>
    <row customHeight="1" ht="11.25">
      <c r="A88" s="1436" t="s">
        <v>1756</v>
      </c>
      <c r="AZ88" s="1972"/>
      <c r="BH88" s="1430" t="s">
        <v>1757</v>
      </c>
      <c r="BJ88" s="1430" t="s">
        <v>1758</v>
      </c>
      <c r="BL88" s="1430" t="s">
        <v>1759</v>
      </c>
    </row>
    <row customHeight="1" ht="11.25">
      <c r="A89" s="1436" t="s">
        <v>1760</v>
      </c>
      <c r="AZ89" s="1429" t="s">
        <v>1761</v>
      </c>
    </row>
    <row customHeight="1" ht="11.25">
      <c r="A90" s="1436" t="s">
        <v>1762</v>
      </c>
      <c r="AZ90" s="1483" t="s">
        <v>977</v>
      </c>
    </row>
    <row customHeight="1" ht="11.25">
      <c r="A91" s="1436" t="s">
        <v>1763</v>
      </c>
      <c r="AZ91" s="1483" t="s">
        <v>1013</v>
      </c>
      <c r="BH91" s="1429" t="s">
        <v>1764</v>
      </c>
      <c r="BJ91" s="1429" t="s">
        <v>1765</v>
      </c>
      <c r="BL91" s="1429" t="s">
        <v>1766</v>
      </c>
    </row>
    <row customHeight="1" ht="11.25">
      <c r="AZ92" s="1483" t="s">
        <v>1767</v>
      </c>
      <c r="BH92" s="1430" t="s">
        <v>1768</v>
      </c>
      <c r="BJ92" s="1430" t="s">
        <v>1769</v>
      </c>
      <c r="BL92" s="1430" t="s">
        <v>1770</v>
      </c>
    </row>
    <row customHeight="1" ht="11.25">
      <c r="AZ93" s="1483" t="s">
        <v>1771</v>
      </c>
      <c r="BH93" s="1430" t="s">
        <v>1772</v>
      </c>
      <c r="BJ93" s="1430" t="s">
        <v>1773</v>
      </c>
      <c r="BL93" s="1430" t="s">
        <v>1774</v>
      </c>
    </row>
    <row customHeight="1" ht="11.25">
      <c r="AZ94" s="1483" t="s">
        <v>1775</v>
      </c>
    </row>
    <row r="96" customHeight="1" ht="11.25">
      <c r="AZ96" s="1429" t="s">
        <v>1776</v>
      </c>
      <c r="BH96" s="1429" t="s">
        <v>1777</v>
      </c>
      <c r="BJ96" s="1429" t="s">
        <v>1778</v>
      </c>
      <c r="BL96" s="1429" t="s">
        <v>1779</v>
      </c>
      <c r="BN96" s="1429" t="s">
        <v>1780</v>
      </c>
    </row>
    <row customHeight="1" ht="11.25">
      <c r="AZ97" s="2268" t="s">
        <v>1781</v>
      </c>
      <c r="BA97" s="2269" t="s">
        <v>1782</v>
      </c>
      <c r="BH97" s="1430" t="s">
        <v>1783</v>
      </c>
      <c r="BJ97" s="1430" t="s">
        <v>1784</v>
      </c>
      <c r="BL97" s="1430" t="s">
        <v>1785</v>
      </c>
      <c r="BN97" s="1430" t="s">
        <v>1786</v>
      </c>
    </row>
    <row customHeight="1" ht="11.25">
      <c r="AZ98" s="2268" t="s">
        <v>1787</v>
      </c>
      <c r="BA98" s="2269" t="s">
        <v>1788</v>
      </c>
      <c r="BH98" s="1430" t="s">
        <v>1789</v>
      </c>
      <c r="BJ98" s="1430" t="s">
        <v>1790</v>
      </c>
      <c r="BL98" s="1430" t="s">
        <v>1791</v>
      </c>
      <c r="BN98" s="1430" t="s">
        <v>1792</v>
      </c>
    </row>
    <row customHeight="1" ht="22.5">
      <c r="AZ99" s="2268" t="s">
        <v>1793</v>
      </c>
      <c r="BA99" s="226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430" t="s">
        <v>1794</v>
      </c>
      <c r="BJ99" s="1430" t="s">
        <v>1795</v>
      </c>
      <c r="BL99" s="1430" t="s">
        <v>1796</v>
      </c>
      <c r="BN99" s="1430" t="s">
        <v>1797</v>
      </c>
    </row>
    <row customHeight="1" ht="22.5">
      <c r="AZ100" s="2268" t="s">
        <v>1798</v>
      </c>
      <c r="BA100" s="226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430" t="s">
        <v>1388</v>
      </c>
      <c r="BL100" s="1430" t="s">
        <v>1388</v>
      </c>
      <c r="BN100" s="1430" t="s">
        <v>1799</v>
      </c>
    </row>
    <row customHeight="1" ht="22.5">
      <c r="AZ101" s="2268" t="s">
        <v>1800</v>
      </c>
      <c r="BA101" s="2269" t="s">
        <v>1801</v>
      </c>
      <c r="BN101" s="1430" t="s">
        <v>1802</v>
      </c>
    </row>
    <row customHeight="1" ht="22.5">
      <c r="AZ102" s="2268" t="s">
        <v>1803</v>
      </c>
      <c r="BA102" s="226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430" t="s">
        <v>1804</v>
      </c>
    </row>
    <row customHeight="1" ht="11.25">
      <c r="AZ103" s="2268" t="s">
        <v>1805</v>
      </c>
      <c r="BA103" s="2269" t="s">
        <v>1806</v>
      </c>
      <c r="BN103" s="1430" t="s">
        <v>1807</v>
      </c>
    </row>
    <row customHeight="1" ht="11.25">
      <c r="BN104" s="1430" t="s">
        <v>1808</v>
      </c>
    </row>
    <row customHeight="1" ht="11.25">
      <c r="AZ105" s="2058" t="s">
        <v>1809</v>
      </c>
    </row>
    <row customHeight="1" ht="11.25">
      <c r="AZ106" s="1483" t="s">
        <v>1810</v>
      </c>
    </row>
    <row customHeight="1" ht="11.25">
      <c r="AZ107" s="1483" t="s">
        <v>1811</v>
      </c>
      <c r="BH107" s="1429" t="s">
        <v>1812</v>
      </c>
      <c r="BJ107" s="1429" t="s">
        <v>1813</v>
      </c>
      <c r="BL107" s="1429" t="s">
        <v>1814</v>
      </c>
      <c r="BN107" s="1429" t="s">
        <v>1815</v>
      </c>
    </row>
    <row customHeight="1" ht="11.25">
      <c r="AZ108" s="1483" t="s">
        <v>612</v>
      </c>
      <c r="BH108" s="1430" t="s">
        <v>1816</v>
      </c>
      <c r="BJ108" s="1430" t="s">
        <v>1817</v>
      </c>
      <c r="BL108" s="1430" t="s">
        <v>1472</v>
      </c>
      <c r="BN108" s="1430" t="s">
        <v>1818</v>
      </c>
    </row>
    <row customHeight="1" ht="11.25">
      <c r="BH109" s="1430" t="s">
        <v>1819</v>
      </c>
    </row>
    <row customHeight="1" ht="11.25">
      <c r="AZ110" s="2058" t="s">
        <v>1820</v>
      </c>
      <c r="BH110" s="1430" t="s">
        <v>1819</v>
      </c>
    </row>
    <row customHeight="1" ht="11.25">
      <c r="AZ111" s="2268" t="s">
        <v>1781</v>
      </c>
      <c r="BA111" s="2269" t="s">
        <v>1782</v>
      </c>
    </row>
    <row customHeight="1" ht="11.25">
      <c r="AZ112" s="2268" t="s">
        <v>1787</v>
      </c>
      <c r="BA112" s="2269" t="s">
        <v>1788</v>
      </c>
    </row>
    <row customHeight="1" ht="22.5">
      <c r="AZ113" s="2268" t="s">
        <v>1793</v>
      </c>
      <c r="BA113" s="226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268" t="s">
        <v>1798</v>
      </c>
      <c r="BA114" s="226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429" t="s">
        <v>1821</v>
      </c>
    </row>
    <row customHeight="1" ht="22.5">
      <c r="AZ115" s="2268" t="s">
        <v>1803</v>
      </c>
      <c r="BA115" s="226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430" t="s">
        <v>1187</v>
      </c>
    </row>
    <row customHeight="1" ht="11.25">
      <c r="AZ116" s="2268" t="s">
        <v>1805</v>
      </c>
      <c r="BA116" s="2269" t="s">
        <v>1806</v>
      </c>
      <c r="BH116" s="1430" t="s">
        <v>1214</v>
      </c>
    </row>
    <row customHeight="1" ht="11.25">
      <c r="BH117" s="1430" t="s">
        <v>1249</v>
      </c>
    </row>
    <row customHeight="1" ht="11.25">
      <c r="BH118" s="1430" t="s">
        <v>1282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5CEAC-71AF-5A81-E769-7EC60D65B0A6}" mc:Ignorable="x14ac xr xr2 xr3">
  <sheetPr>
    <tabColor rgb="FFCCCCFF"/>
  </sheetPr>
  <dimension ref="A1:AQ166"/>
  <sheetViews>
    <sheetView topLeftCell="A1" showGridLines="0" zoomScale="90" workbookViewId="0">
      <selection activeCell="P120" sqref="P120:P121"/>
    </sheetView>
  </sheetViews>
  <sheetFormatPr defaultColWidth="9.140625" customHeight="1" defaultRowHeight="11.25"/>
  <cols>
    <col min="1" max="2" style="31842" width="3.7109375" hidden="1" customWidth="1"/>
    <col min="3" max="3" style="31843" width="3.7109375" customWidth="1"/>
    <col min="4" max="4" style="31843" width="6.140625" customWidth="1"/>
    <col min="5" max="5" style="31843" width="43.140625" customWidth="1"/>
    <col min="6" max="6" style="31717" width="15.00390625" customWidth="1"/>
    <col min="7" max="7" style="31843" width="43.140625" customWidth="1"/>
    <col min="8" max="8" style="31843" width="3.7109375" customWidth="1"/>
    <col min="9" max="9" style="31843" width="5.421875" customWidth="1"/>
    <col min="10" max="10" style="31843" width="47.8515625" customWidth="1"/>
    <col min="11" max="12" style="31843" width="3.7109375" customWidth="1"/>
    <col min="13" max="13" style="31843" width="5.7109375" customWidth="1"/>
    <col min="14" max="14" style="31843" width="28.140625" customWidth="1"/>
    <col min="15" max="16" style="31843" width="3.7109375" customWidth="1"/>
    <col min="17" max="17" style="31843" width="5.7109375" customWidth="1"/>
    <col min="18" max="18" style="31843" width="34.421875" customWidth="1"/>
    <col min="19" max="20" style="31844" width="3.7109375" hidden="1" customWidth="1"/>
    <col min="21" max="21" style="31844" width="5.7109375" hidden="1" customWidth="1"/>
    <col min="22" max="22" style="31844" width="34.421875" hidden="1" customWidth="1"/>
    <col min="23" max="23" style="31843" width="30.7109375" customWidth="1"/>
    <col min="24" max="24" style="31843" width="3.7109375" customWidth="1"/>
    <col min="25" max="25" style="31845" width="9.8515625" customWidth="1"/>
    <col min="26" max="28" style="31845" width="9.8515625" hidden="1" customWidth="1"/>
    <col min="29" max="29" style="31845" width="27.00390625" hidden="1" customWidth="1"/>
    <col min="30" max="30" style="31845" width="10.57421875" hidden="1" customWidth="1"/>
    <col min="31" max="31" style="31845" width="10.7109375" hidden="1" customWidth="1"/>
    <col min="32" max="32" style="31845" width="10.00390625" hidden="1" customWidth="1"/>
    <col min="33" max="33" style="31845" width="12.8515625" hidden="1" customWidth="1"/>
    <col min="34" max="34" style="31845" width="24.421875" hidden="1" customWidth="1"/>
    <col min="35" max="35" style="31845" width="15.8515625" hidden="1" customWidth="1"/>
    <col min="36" max="36" style="31845" width="19.421875" hidden="1" customWidth="1"/>
    <col min="37" max="37" style="31845" width="11.00390625" hidden="1" customWidth="1"/>
    <col min="38" max="38" style="31845" width="23.57421875" hidden="1" customWidth="1"/>
    <col min="39" max="39" style="31845" width="23.8515625" hidden="1" customWidth="1"/>
    <col min="40" max="40" style="31845" width="25.28125" hidden="1" customWidth="1"/>
    <col min="41" max="41" style="31845" width="16.8515625" hidden="1" customWidth="1"/>
    <col min="42" max="42" style="31845" width="29.57421875" hidden="1" customWidth="1"/>
    <col min="43" max="43" style="31845" width="29.8515625" hidden="1" customWidth="1"/>
  </cols>
  <sheetData>
    <row customHeight="1" ht="11.25" hidden="1">
      <c r="A1" s="518"/>
    </row>
    <row customHeight="1" ht="11.25" hidden="1"/>
    <row customHeight="1" ht="11.25" hidden="1"/>
    <row customHeight="1" ht="3"/>
    <row s="31642" customFormat="1" customHeight="1" ht="29.25">
      <c r="A5" s="516"/>
      <c r="B5" s="516"/>
      <c r="D5" s="244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441"/>
      <c r="F5" s="2441"/>
      <c r="G5" s="2441"/>
      <c r="H5" s="2441"/>
      <c r="I5" s="2441"/>
      <c r="J5" s="2442"/>
      <c r="K5" s="626"/>
      <c r="L5" s="504"/>
      <c r="M5" s="504"/>
      <c r="N5" s="504"/>
      <c r="O5" s="504"/>
      <c r="P5" s="504"/>
      <c r="Q5" s="504"/>
      <c r="R5" s="504"/>
      <c r="S5" s="651"/>
      <c r="T5" s="651"/>
      <c r="U5" s="651"/>
      <c r="V5" s="651"/>
      <c r="W5" s="504"/>
      <c r="Y5" s="1626"/>
      <c r="Z5" s="1626"/>
      <c r="AA5" s="1626"/>
      <c r="AB5" s="1626"/>
      <c r="AC5" s="1626"/>
      <c r="AD5" s="1626"/>
      <c r="AE5" s="1626"/>
      <c r="AF5" s="1626"/>
      <c r="AG5" s="1626"/>
      <c r="AH5" s="1626"/>
      <c r="AI5" s="1626"/>
      <c r="AJ5" s="1626"/>
      <c r="AK5" s="1626"/>
      <c r="AL5" s="1626"/>
      <c r="AM5" s="1626"/>
      <c r="AN5" s="1626"/>
      <c r="AO5" s="1626"/>
      <c r="AP5" s="1626"/>
      <c r="AQ5" s="1626"/>
    </row>
    <row s="31559" customFormat="1" customHeight="1" ht="15">
      <c r="A6" s="946"/>
      <c r="B6" s="946"/>
      <c r="C6" s="946"/>
      <c r="D6" s="2446" t="str">
        <f>IF(org=0,"Не определено",org)</f>
        <v>АО "Мурманэнергосбыт"</v>
      </c>
      <c r="E6" s="2446"/>
      <c r="F6" s="2446"/>
      <c r="G6" s="2446"/>
      <c r="H6" s="2446"/>
      <c r="I6" s="2446"/>
      <c r="J6" s="2446"/>
      <c r="K6" s="947"/>
      <c r="L6" s="947"/>
      <c r="M6" s="947"/>
      <c r="N6" s="947"/>
      <c r="O6" s="1231"/>
      <c r="P6" s="1231"/>
      <c r="Q6" s="1231"/>
      <c r="R6" s="1231"/>
      <c r="S6" s="1231"/>
      <c r="T6" s="1231"/>
      <c r="U6" s="1231"/>
      <c r="V6" s="1231"/>
      <c r="W6" s="1231"/>
      <c r="X6" s="947"/>
      <c r="Y6" s="1627"/>
      <c r="Z6" s="1627"/>
      <c r="AA6" s="1627"/>
      <c r="AB6" s="1627"/>
      <c r="AC6" s="1627"/>
      <c r="AD6" s="1627"/>
      <c r="AE6" s="1627"/>
      <c r="AF6" s="1627"/>
      <c r="AG6" s="1627"/>
      <c r="AH6" s="1627"/>
      <c r="AI6" s="1627"/>
      <c r="AJ6" s="1627"/>
      <c r="AK6" s="1627"/>
      <c r="AL6" s="1627"/>
      <c r="AM6" s="1627"/>
      <c r="AN6" s="1627"/>
      <c r="AO6" s="1627"/>
      <c r="AP6" s="1627"/>
      <c r="AQ6" s="1627"/>
    </row>
    <row s="31652" customFormat="1" customHeight="1" ht="11.25">
      <c r="A7" s="572"/>
      <c r="B7" s="572"/>
      <c r="D7" s="2443"/>
      <c r="E7" s="2444"/>
      <c r="F7" s="2444"/>
      <c r="G7" s="2444"/>
      <c r="H7" s="2444"/>
      <c r="I7" s="2444"/>
      <c r="J7" s="2445"/>
      <c r="S7" s="660"/>
      <c r="T7" s="660"/>
      <c r="U7" s="660"/>
      <c r="V7" s="660"/>
      <c r="Y7" s="1628"/>
      <c r="Z7" s="1628"/>
      <c r="AA7" s="1628"/>
      <c r="AB7" s="1628"/>
      <c r="AC7" s="1628"/>
      <c r="AD7" s="1628"/>
      <c r="AE7" s="1628"/>
      <c r="AF7" s="1628"/>
      <c r="AG7" s="1628"/>
      <c r="AH7" s="1628"/>
      <c r="AI7" s="1628"/>
      <c r="AJ7" s="1628"/>
      <c r="AK7" s="1628"/>
      <c r="AL7" s="1628"/>
      <c r="AM7" s="1628"/>
      <c r="AN7" s="1628"/>
      <c r="AO7" s="1628"/>
      <c r="AP7" s="1628"/>
      <c r="AQ7" s="1628"/>
    </row>
    <row s="31642" customFormat="1" customHeight="1" ht="0.75">
      <c r="A8" s="516"/>
      <c r="B8" s="516"/>
      <c r="D8" s="573"/>
      <c r="E8" s="573"/>
      <c r="F8" s="573"/>
      <c r="G8" s="573"/>
      <c r="H8" s="573"/>
      <c r="I8" s="573"/>
      <c r="J8" s="573"/>
      <c r="K8" s="573"/>
      <c r="L8" s="573"/>
      <c r="M8" s="573"/>
      <c r="N8" s="573"/>
      <c r="O8" s="573"/>
      <c r="P8" s="573"/>
      <c r="Q8" s="573"/>
      <c r="R8" s="573"/>
      <c r="S8" s="573"/>
      <c r="T8" s="573"/>
      <c r="U8" s="573"/>
      <c r="V8" s="573"/>
      <c r="W8" s="573"/>
      <c r="X8" s="494"/>
      <c r="Y8" s="1626"/>
      <c r="Z8" s="1626"/>
      <c r="AA8" s="1626"/>
      <c r="AB8" s="1626"/>
      <c r="AC8" s="1626"/>
      <c r="AD8" s="1626"/>
      <c r="AE8" s="1626"/>
      <c r="AF8" s="1626"/>
      <c r="AG8" s="1626"/>
      <c r="AH8" s="1626"/>
      <c r="AI8" s="1626"/>
      <c r="AJ8" s="1626"/>
      <c r="AK8" s="1626"/>
      <c r="AL8" s="1626"/>
      <c r="AM8" s="1626"/>
      <c r="AN8" s="1626"/>
      <c r="AO8" s="1626"/>
      <c r="AP8" s="1626"/>
      <c r="AQ8" s="1626"/>
    </row>
    <row customHeight="1" ht="27">
      <c r="D9" s="2392" t="s">
        <v>87</v>
      </c>
      <c r="E9" s="2376" t="s">
        <v>130</v>
      </c>
      <c r="F9" s="2378"/>
      <c r="G9" s="2392" t="s">
        <v>114</v>
      </c>
      <c r="H9" s="2392" t="s">
        <v>87</v>
      </c>
      <c r="I9" s="2392"/>
      <c r="J9" s="2392" t="s">
        <v>131</v>
      </c>
      <c r="K9" s="2447" t="s">
        <v>132</v>
      </c>
      <c r="L9" s="2447"/>
      <c r="M9" s="2447"/>
      <c r="N9" s="2447"/>
      <c r="O9" s="2447" t="s">
        <v>133</v>
      </c>
      <c r="P9" s="2447"/>
      <c r="Q9" s="2447"/>
      <c r="R9" s="2447"/>
      <c r="S9" s="2447" t="s">
        <v>134</v>
      </c>
      <c r="T9" s="2447"/>
      <c r="U9" s="2447"/>
      <c r="V9" s="2447"/>
      <c r="W9" s="2392" t="s">
        <v>135</v>
      </c>
    </row>
    <row customHeight="1" ht="30">
      <c r="D10" s="2392"/>
      <c r="E10" s="1650" t="s">
        <v>88</v>
      </c>
      <c r="F10" s="1650" t="s">
        <v>136</v>
      </c>
      <c r="G10" s="2392"/>
      <c r="H10" s="2392"/>
      <c r="I10" s="2392"/>
      <c r="J10" s="2392"/>
      <c r="K10" s="472" t="s">
        <v>117</v>
      </c>
      <c r="L10" s="2392" t="s">
        <v>87</v>
      </c>
      <c r="M10" s="2392"/>
      <c r="N10" s="472" t="s">
        <v>137</v>
      </c>
      <c r="O10" s="472" t="s">
        <v>117</v>
      </c>
      <c r="P10" s="2392" t="s">
        <v>87</v>
      </c>
      <c r="Q10" s="2392"/>
      <c r="R10" s="472" t="s">
        <v>137</v>
      </c>
      <c r="S10" s="644" t="s">
        <v>117</v>
      </c>
      <c r="T10" s="2392" t="s">
        <v>87</v>
      </c>
      <c r="U10" s="2392"/>
      <c r="V10" s="644" t="s">
        <v>88</v>
      </c>
      <c r="W10" s="2392"/>
      <c r="Z10" s="1625" t="s">
        <v>138</v>
      </c>
      <c r="AA10" s="1625" t="s">
        <v>139</v>
      </c>
      <c r="AB10" s="1625" t="s">
        <v>140</v>
      </c>
      <c r="AC10" s="1625" t="s">
        <v>141</v>
      </c>
      <c r="AD10" s="1625" t="s">
        <v>142</v>
      </c>
      <c r="AE10" s="1625" t="s">
        <v>143</v>
      </c>
      <c r="AF10" s="1625" t="s">
        <v>144</v>
      </c>
      <c r="AG10" s="1625" t="s">
        <v>145</v>
      </c>
      <c r="AH10" s="1625" t="s">
        <v>146</v>
      </c>
      <c r="AI10" s="1625" t="s">
        <v>147</v>
      </c>
      <c r="AJ10" s="1625" t="s">
        <v>148</v>
      </c>
      <c r="AK10" s="1625" t="s">
        <v>149</v>
      </c>
      <c r="AL10" s="1625" t="s">
        <v>150</v>
      </c>
      <c r="AM10" s="1625" t="s">
        <v>151</v>
      </c>
      <c r="AN10" s="1625" t="s">
        <v>152</v>
      </c>
      <c r="AO10" s="1625" t="s">
        <v>153</v>
      </c>
      <c r="AP10" s="1625" t="s">
        <v>154</v>
      </c>
      <c r="AQ10" s="1625" t="s">
        <v>155</v>
      </c>
    </row>
    <row s="31666" customFormat="1" customHeight="1" ht="12" hidden="1">
      <c r="D11" s="1614" t="s">
        <v>118</v>
      </c>
      <c r="E11" s="1614" t="s">
        <v>102</v>
      </c>
      <c r="F11" s="1614"/>
      <c r="G11" s="1614" t="s">
        <v>89</v>
      </c>
      <c r="H11" s="2439" t="s">
        <v>119</v>
      </c>
      <c r="I11" s="2439"/>
      <c r="J11" s="1614" t="s">
        <v>91</v>
      </c>
      <c r="K11" s="1614" t="s">
        <v>92</v>
      </c>
      <c r="L11" s="2439" t="s">
        <v>120</v>
      </c>
      <c r="M11" s="2439"/>
      <c r="N11" s="1614" t="s">
        <v>156</v>
      </c>
      <c r="O11" s="1614" t="s">
        <v>157</v>
      </c>
      <c r="P11" s="2439" t="s">
        <v>105</v>
      </c>
      <c r="Q11" s="2439"/>
      <c r="R11" s="1614" t="s">
        <v>158</v>
      </c>
      <c r="S11" s="1614" t="s">
        <v>105</v>
      </c>
      <c r="T11" s="2439" t="s">
        <v>158</v>
      </c>
      <c r="U11" s="2439"/>
      <c r="V11" s="1614" t="s">
        <v>159</v>
      </c>
      <c r="W11" s="1614" t="s">
        <v>110</v>
      </c>
      <c r="Y11" s="1625"/>
      <c r="Z11" s="1625"/>
      <c r="AA11" s="1625"/>
      <c r="AB11" s="1625"/>
      <c r="AC11" s="1625"/>
      <c r="AD11" s="1625"/>
      <c r="AE11" s="1625"/>
      <c r="AF11" s="1625"/>
      <c r="AG11" s="1625"/>
      <c r="AH11" s="1625"/>
      <c r="AI11" s="1625"/>
      <c r="AJ11" s="1625"/>
      <c r="AK11" s="1625"/>
      <c r="AL11" s="1625"/>
      <c r="AM11" s="1625"/>
      <c r="AN11" s="1625"/>
      <c r="AO11" s="1625"/>
      <c r="AP11" s="1625"/>
      <c r="AQ11" s="1625"/>
    </row>
    <row customHeight="1" ht="14.25" hidden="1">
      <c r="C12" s="570"/>
      <c r="D12" s="1648">
        <v>0</v>
      </c>
      <c r="E12" s="611"/>
      <c r="F12" s="611"/>
      <c r="G12" s="611"/>
      <c r="H12" s="612"/>
      <c r="I12" s="612"/>
      <c r="J12" s="520"/>
      <c r="K12" s="474"/>
      <c r="L12" s="520"/>
      <c r="M12" s="520"/>
      <c r="N12" s="613"/>
      <c r="O12" s="474"/>
      <c r="P12" s="520"/>
      <c r="Q12" s="520"/>
      <c r="R12" s="614"/>
      <c r="S12" s="645"/>
      <c r="T12" s="653"/>
      <c r="U12" s="653"/>
      <c r="V12" s="657"/>
      <c r="W12" s="474"/>
      <c r="X12" s="503"/>
    </row>
    <row s="31681" customFormat="1" customHeight="1" ht="17.25" hidden="1">
      <c r="A13" s="682"/>
      <c r="C13" s="570"/>
      <c r="D13" s="2416">
        <v>1</v>
      </c>
      <c r="E13" s="2418" t="s">
        <v>160</v>
      </c>
      <c r="F13" s="2420" t="s">
        <v>56</v>
      </c>
      <c r="G13" s="2418"/>
      <c r="H13" s="2423"/>
      <c r="I13" s="2425"/>
      <c r="J13" s="2427"/>
      <c r="K13" s="2410"/>
      <c r="L13" s="2410"/>
      <c r="M13" s="2410"/>
      <c r="N13" s="2412"/>
      <c r="O13" s="2410"/>
      <c r="P13" s="2410"/>
      <c r="Q13" s="2410"/>
      <c r="R13" s="2415"/>
      <c r="S13" s="2410"/>
      <c r="T13" s="1786"/>
      <c r="U13" s="1786"/>
      <c r="V13" s="1785"/>
      <c r="W13" s="1662"/>
      <c r="Y13" s="1633"/>
      <c r="Z13" s="1633"/>
      <c r="AA13" s="1633"/>
      <c r="AB13" s="1633"/>
      <c r="AC13" s="1633" t="s">
        <v>161</v>
      </c>
      <c r="AD13" s="1633" t="s">
        <v>162</v>
      </c>
      <c r="AE13" s="1633" t="s">
        <v>163</v>
      </c>
      <c r="AF13" s="1633" t="s">
        <v>164</v>
      </c>
      <c r="AG13" s="1633" t="s">
        <v>165</v>
      </c>
      <c r="AH13" s="163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633" t="str">
        <f>IF($G$13=0,"",$G$13)</f>
        <v/>
      </c>
      <c r="AJ13" s="1633" t="str">
        <f>IF($J$13=0,"",$J$13)</f>
        <v/>
      </c>
      <c r="AK13" s="1633" t="str">
        <f>IF($K$13="нет","без дифференциации",IF($N$13=0,"",$N$13))</f>
        <v/>
      </c>
      <c r="AL13" s="1633" t="str">
        <f>IF($O$13="нет","без дифференциации",IF($R$13=0,"",$R$13))</f>
        <v/>
      </c>
      <c r="AM13" s="1633" t="str">
        <f>IF($S$13="нет","без дифференциации",IF($V$13=0,"",$V$13))</f>
        <v/>
      </c>
      <c r="AN13" s="1633">
        <f>$I$13</f>
        <v>0</v>
      </c>
      <c r="AO13" s="1633" t="str">
        <f>$I$13&amp;"."&amp;$M$13</f>
        <v>.</v>
      </c>
      <c r="AP13" s="1633" t="str">
        <f>$I$13&amp;"."&amp;$M$13&amp;"."&amp;$Q$13</f>
        <v>..</v>
      </c>
      <c r="AQ13" s="1633" t="str">
        <f>$I$13&amp;"."&amp;$M$13&amp;"."&amp;$Q$13&amp;"."&amp;$U$13</f>
        <v>...</v>
      </c>
    </row>
    <row s="31681" customFormat="1" customHeight="1" ht="17.25" hidden="1">
      <c r="A14" s="682"/>
      <c r="C14" s="681"/>
      <c r="D14" s="2416"/>
      <c r="E14" s="2418"/>
      <c r="F14" s="2421"/>
      <c r="G14" s="2418"/>
      <c r="H14" s="2424"/>
      <c r="I14" s="2426"/>
      <c r="J14" s="2428"/>
      <c r="K14" s="2411"/>
      <c r="L14" s="2411"/>
      <c r="M14" s="2411"/>
      <c r="N14" s="2413"/>
      <c r="O14" s="2411"/>
      <c r="P14" s="2411"/>
      <c r="Q14" s="2411"/>
      <c r="R14" s="2414"/>
      <c r="S14" s="2411"/>
      <c r="T14" s="1663"/>
      <c r="U14" s="1663"/>
      <c r="V14" s="1663"/>
      <c r="W14" s="1664"/>
      <c r="Y14" s="1625"/>
      <c r="Z14" s="1625"/>
      <c r="AA14" s="1625"/>
      <c r="AB14" s="1625"/>
      <c r="AC14" s="1625"/>
      <c r="AD14" s="1625"/>
      <c r="AE14" s="1625"/>
      <c r="AF14" s="1625"/>
      <c r="AG14" s="1625"/>
      <c r="AH14" s="1625"/>
      <c r="AI14" s="1625"/>
      <c r="AJ14" s="1625"/>
      <c r="AK14" s="1625"/>
      <c r="AL14" s="1625"/>
      <c r="AM14" s="1625"/>
      <c r="AN14" s="1625"/>
      <c r="AO14" s="1625"/>
      <c r="AP14" s="1625"/>
      <c r="AQ14" s="1625"/>
    </row>
    <row s="31706" customFormat="1" customHeight="1" ht="17.25" hidden="1">
      <c r="A15" s="682"/>
      <c r="C15" s="570"/>
      <c r="D15" s="2416"/>
      <c r="E15" s="2418"/>
      <c r="F15" s="2421"/>
      <c r="G15" s="2418"/>
      <c r="H15" s="2424"/>
      <c r="I15" s="2426"/>
      <c r="J15" s="2429"/>
      <c r="K15" s="2411"/>
      <c r="L15" s="2411"/>
      <c r="M15" s="2411"/>
      <c r="N15" s="2414"/>
      <c r="O15" s="2411"/>
      <c r="P15" s="1784"/>
      <c r="Q15" s="1663"/>
      <c r="R15" s="1663"/>
      <c r="S15" s="690"/>
      <c r="T15" s="690"/>
      <c r="U15" s="690"/>
      <c r="V15" s="690"/>
      <c r="W15" s="1664"/>
      <c r="Y15" s="1633"/>
      <c r="Z15" s="1633"/>
      <c r="AA15" s="1633"/>
      <c r="AB15" s="1633"/>
      <c r="AC15" s="1633"/>
      <c r="AD15" s="1633"/>
      <c r="AE15" s="1633"/>
      <c r="AF15" s="1633"/>
      <c r="AG15" s="1633"/>
      <c r="AH15" s="1633"/>
      <c r="AI15" s="1633"/>
      <c r="AJ15" s="1633"/>
      <c r="AK15" s="1633"/>
      <c r="AL15" s="1633"/>
      <c r="AM15" s="1633"/>
      <c r="AN15" s="1633"/>
      <c r="AO15" s="1633"/>
      <c r="AP15" s="1633"/>
      <c r="AQ15" s="1633"/>
    </row>
    <row s="31706" customFormat="1" customHeight="1" ht="17.25" hidden="1">
      <c r="A16" s="682"/>
      <c r="C16" s="681"/>
      <c r="D16" s="2416"/>
      <c r="E16" s="2418"/>
      <c r="F16" s="2421"/>
      <c r="G16" s="2418"/>
      <c r="H16" s="2424"/>
      <c r="I16" s="2426"/>
      <c r="J16" s="2429"/>
      <c r="K16" s="2411"/>
      <c r="L16" s="1663"/>
      <c r="M16" s="1663"/>
      <c r="N16" s="1663"/>
      <c r="O16" s="1663"/>
      <c r="P16" s="1663"/>
      <c r="Q16" s="1663"/>
      <c r="R16" s="1663"/>
      <c r="S16" s="690"/>
      <c r="T16" s="690"/>
      <c r="U16" s="690"/>
      <c r="V16" s="690"/>
      <c r="W16" s="1664"/>
      <c r="Y16" s="1625"/>
      <c r="Z16" s="1625"/>
      <c r="AA16" s="1625"/>
      <c r="AB16" s="1625"/>
      <c r="AC16" s="1625"/>
      <c r="AD16" s="1625"/>
      <c r="AE16" s="1625"/>
      <c r="AF16" s="1625"/>
      <c r="AG16" s="1625"/>
      <c r="AH16" s="1625"/>
      <c r="AI16" s="1625"/>
      <c r="AJ16" s="1625"/>
      <c r="AK16" s="1625"/>
      <c r="AL16" s="1625"/>
      <c r="AM16" s="1625"/>
      <c r="AN16" s="1625"/>
      <c r="AO16" s="1625"/>
      <c r="AP16" s="1625"/>
      <c r="AQ16" s="1625"/>
    </row>
    <row s="31681" customFormat="1" customHeight="1" ht="17.25" hidden="1">
      <c r="A17" s="682"/>
      <c r="C17" s="681"/>
      <c r="D17" s="2417"/>
      <c r="E17" s="2419"/>
      <c r="F17" s="2422"/>
      <c r="G17" s="2419"/>
      <c r="H17" s="1665"/>
      <c r="I17" s="1666"/>
      <c r="J17" s="1666"/>
      <c r="K17" s="1666"/>
      <c r="L17" s="1666"/>
      <c r="M17" s="1666"/>
      <c r="N17" s="1666"/>
      <c r="O17" s="1666"/>
      <c r="P17" s="1666"/>
      <c r="Q17" s="1666"/>
      <c r="R17" s="1666"/>
      <c r="S17" s="1667"/>
      <c r="T17" s="1667"/>
      <c r="U17" s="1667"/>
      <c r="V17" s="1667"/>
      <c r="W17" s="1668"/>
      <c r="Y17" s="1625"/>
      <c r="Z17" s="1625"/>
      <c r="AA17" s="1625"/>
      <c r="AB17" s="1625"/>
      <c r="AC17" s="1625"/>
      <c r="AD17" s="1625"/>
      <c r="AE17" s="1625"/>
      <c r="AF17" s="1625"/>
      <c r="AG17" s="1625"/>
      <c r="AH17" s="1625"/>
      <c r="AI17" s="1625"/>
      <c r="AJ17" s="1625"/>
      <c r="AK17" s="1625"/>
      <c r="AL17" s="1625"/>
      <c r="AM17" s="1625"/>
      <c r="AN17" s="1625"/>
      <c r="AO17" s="1625"/>
      <c r="AP17" s="1625"/>
      <c r="AQ17" s="1625"/>
    </row>
    <row s="31717" customFormat="1" customHeight="1" ht="17.25" hidden="1">
      <c r="A18" s="682"/>
      <c r="C18" s="570"/>
      <c r="D18" s="2416">
        <v>2</v>
      </c>
      <c r="E18" s="2418" t="s">
        <v>166</v>
      </c>
      <c r="F18" s="2420" t="s">
        <v>56</v>
      </c>
      <c r="G18" s="2418"/>
      <c r="H18" s="2423"/>
      <c r="I18" s="2425"/>
      <c r="J18" s="2427"/>
      <c r="K18" s="2410"/>
      <c r="L18" s="2410"/>
      <c r="M18" s="2410"/>
      <c r="N18" s="2412"/>
      <c r="O18" s="2410"/>
      <c r="P18" s="2410"/>
      <c r="Q18" s="2410"/>
      <c r="R18" s="2415"/>
      <c r="S18" s="2410"/>
      <c r="T18" s="1786"/>
      <c r="U18" s="1786"/>
      <c r="V18" s="1785"/>
      <c r="W18" s="1662"/>
      <c r="X18" s="1633"/>
      <c r="Y18" s="1633"/>
      <c r="Z18" s="1633"/>
      <c r="AA18" s="1633"/>
      <c r="AB18" s="1633"/>
      <c r="AC18" s="1633" t="s">
        <v>167</v>
      </c>
      <c r="AD18" s="1633" t="s">
        <v>168</v>
      </c>
      <c r="AE18" s="1633" t="s">
        <v>169</v>
      </c>
      <c r="AF18" s="1633" t="s">
        <v>170</v>
      </c>
      <c r="AG18" s="1633" t="s">
        <v>171</v>
      </c>
      <c r="AH18" s="1633" t="str">
        <f>IF($E$18=0,"",$E$18)</f>
        <v>Тарифы на тепловую энергию (мощность), поставляемую теплоснабжающими организациями потребителям, другим теплоснабжающим организациям</v>
      </c>
      <c r="AI18" s="1633" t="str">
        <f>IF($G$18=0,"",$G$18)</f>
        <v/>
      </c>
      <c r="AJ18" s="1633" t="str">
        <f>IF($J$18=0,"",$J$18)</f>
        <v/>
      </c>
      <c r="AK18" s="1633" t="str">
        <f>IF($K$18="нет","без дифференциации",IF($N$18=0,"",$N$18))</f>
        <v/>
      </c>
      <c r="AL18" s="1633" t="str">
        <f>IF($O$18="нет","без дифференциации",IF($R$18=0,"",$R$18))</f>
        <v/>
      </c>
      <c r="AM18" s="1633" t="str">
        <f>IF($S$18="нет","без дифференциации",IF($V$18=0,"",$V$18))</f>
        <v/>
      </c>
      <c r="AN18" s="2138">
        <f>$I$18</f>
        <v>0</v>
      </c>
      <c r="AO18" s="1633" t="str">
        <f>$I$18&amp;"."&amp;$M$18</f>
        <v>.</v>
      </c>
      <c r="AP18" s="1625" t="str">
        <f>$I$18&amp;"."&amp;$M$18&amp;"."&amp;$Q$18</f>
        <v>..</v>
      </c>
      <c r="AQ18" s="1625" t="str">
        <f>$I$18&amp;"."&amp;$M$18&amp;"."&amp;$Q$18&amp;"."&amp;$U$18</f>
        <v>...</v>
      </c>
    </row>
    <row s="31717" customFormat="1" customHeight="1" ht="17.25" hidden="1">
      <c r="A19" s="682"/>
      <c r="C19" s="681"/>
      <c r="D19" s="2416"/>
      <c r="E19" s="2418"/>
      <c r="F19" s="2421"/>
      <c r="G19" s="2418"/>
      <c r="H19" s="2424"/>
      <c r="I19" s="2426"/>
      <c r="J19" s="2428"/>
      <c r="K19" s="2411"/>
      <c r="L19" s="2411"/>
      <c r="M19" s="2411"/>
      <c r="N19" s="2413"/>
      <c r="O19" s="2411"/>
      <c r="P19" s="2411"/>
      <c r="Q19" s="2411"/>
      <c r="R19" s="2414"/>
      <c r="S19" s="2411"/>
      <c r="T19" s="1663"/>
      <c r="U19" s="1663"/>
      <c r="V19" s="1663"/>
      <c r="W19" s="1664"/>
      <c r="X19" s="1625"/>
      <c r="Y19" s="1625"/>
      <c r="Z19" s="1625"/>
      <c r="AA19" s="1625"/>
      <c r="AB19" s="1625"/>
      <c r="AC19" s="1625"/>
      <c r="AD19" s="1625"/>
      <c r="AE19" s="1625"/>
      <c r="AF19" s="1625"/>
      <c r="AG19" s="1625"/>
      <c r="AH19" s="1625"/>
      <c r="AI19" s="1625"/>
      <c r="AJ19" s="1625"/>
      <c r="AK19" s="1625"/>
      <c r="AL19" s="1625"/>
      <c r="AM19" s="1625"/>
      <c r="AN19" s="1625"/>
      <c r="AO19" s="1625"/>
      <c r="AP19" s="1625"/>
      <c r="AQ19" s="1625"/>
    </row>
    <row s="31717" customFormat="1" customHeight="1" ht="17.25" hidden="1">
      <c r="A20" s="682"/>
      <c r="C20" s="681"/>
      <c r="D20" s="2417"/>
      <c r="E20" s="2419"/>
      <c r="F20" s="2421"/>
      <c r="G20" s="2419"/>
      <c r="H20" s="2424"/>
      <c r="I20" s="2426"/>
      <c r="J20" s="2429"/>
      <c r="K20" s="2411"/>
      <c r="L20" s="2411"/>
      <c r="M20" s="2411"/>
      <c r="N20" s="2414"/>
      <c r="O20" s="2411"/>
      <c r="P20" s="1784"/>
      <c r="Q20" s="1663"/>
      <c r="R20" s="1663"/>
      <c r="S20" s="690"/>
      <c r="T20" s="690"/>
      <c r="U20" s="690"/>
      <c r="V20" s="690"/>
      <c r="W20" s="1664"/>
      <c r="X20" s="1625"/>
      <c r="Y20" s="1625"/>
      <c r="Z20" s="1625"/>
      <c r="AA20" s="1625"/>
      <c r="AB20" s="1625"/>
      <c r="AC20" s="1625"/>
      <c r="AD20" s="1625"/>
      <c r="AE20" s="1625"/>
      <c r="AF20" s="1625"/>
      <c r="AG20" s="1625"/>
      <c r="AH20" s="1625"/>
      <c r="AI20" s="1625"/>
      <c r="AJ20" s="1625"/>
      <c r="AK20" s="1625"/>
      <c r="AL20" s="1625"/>
      <c r="AM20" s="1625"/>
      <c r="AN20" s="1625"/>
      <c r="AO20" s="1625"/>
      <c r="AP20" s="1625"/>
      <c r="AQ20" s="1625"/>
    </row>
    <row s="31717" customFormat="1" customHeight="1" ht="17.25" hidden="1">
      <c r="A21" s="682"/>
      <c r="C21" s="681"/>
      <c r="D21" s="2417"/>
      <c r="E21" s="2419"/>
      <c r="F21" s="2421"/>
      <c r="G21" s="2419"/>
      <c r="H21" s="2424"/>
      <c r="I21" s="2426"/>
      <c r="J21" s="2429"/>
      <c r="K21" s="2411"/>
      <c r="L21" s="1663"/>
      <c r="M21" s="1663"/>
      <c r="N21" s="1663"/>
      <c r="O21" s="1663"/>
      <c r="P21" s="1663"/>
      <c r="Q21" s="1663"/>
      <c r="R21" s="1663"/>
      <c r="S21" s="690"/>
      <c r="T21" s="690"/>
      <c r="U21" s="690"/>
      <c r="V21" s="690"/>
      <c r="W21" s="1664"/>
      <c r="X21" s="1625"/>
      <c r="Y21" s="1625"/>
      <c r="Z21" s="1625"/>
      <c r="AA21" s="1625"/>
      <c r="AB21" s="1625"/>
      <c r="AC21" s="1625"/>
      <c r="AD21" s="1625"/>
      <c r="AE21" s="1625"/>
      <c r="AF21" s="1625"/>
      <c r="AG21" s="1625"/>
      <c r="AH21" s="1625"/>
      <c r="AI21" s="1625"/>
      <c r="AJ21" s="1625"/>
      <c r="AK21" s="1625"/>
      <c r="AL21" s="1625"/>
      <c r="AM21" s="1625"/>
      <c r="AN21" s="1625"/>
      <c r="AO21" s="1625"/>
      <c r="AP21" s="1625"/>
      <c r="AQ21" s="1625"/>
    </row>
    <row s="31717" customFormat="1" customHeight="1" ht="17.25" hidden="1">
      <c r="A22" s="682"/>
      <c r="C22" s="681"/>
      <c r="D22" s="2417"/>
      <c r="E22" s="2419"/>
      <c r="F22" s="2422"/>
      <c r="G22" s="2419"/>
      <c r="H22" s="1665"/>
      <c r="I22" s="1666"/>
      <c r="J22" s="1666"/>
      <c r="K22" s="1666"/>
      <c r="L22" s="1666"/>
      <c r="M22" s="1666"/>
      <c r="N22" s="1666"/>
      <c r="O22" s="1666"/>
      <c r="P22" s="1666"/>
      <c r="Q22" s="1666"/>
      <c r="R22" s="1666"/>
      <c r="S22" s="1667"/>
      <c r="T22" s="1667"/>
      <c r="U22" s="1667"/>
      <c r="V22" s="1667"/>
      <c r="W22" s="1668"/>
      <c r="X22" s="1625"/>
      <c r="Y22" s="1625"/>
      <c r="Z22" s="1625"/>
      <c r="AA22" s="1625"/>
      <c r="AB22" s="1625"/>
      <c r="AC22" s="1625"/>
      <c r="AD22" s="1625"/>
      <c r="AE22" s="1625"/>
      <c r="AF22" s="1625"/>
      <c r="AG22" s="1625"/>
      <c r="AH22" s="1625"/>
      <c r="AI22" s="1625"/>
      <c r="AJ22" s="1625"/>
      <c r="AK22" s="1625"/>
      <c r="AL22" s="1625"/>
      <c r="AM22" s="1625"/>
      <c r="AN22" s="1625"/>
      <c r="AO22" s="1625"/>
      <c r="AP22" s="1625"/>
      <c r="AQ22" s="1625"/>
    </row>
    <row s="31717" customFormat="1" customHeight="1" ht="17.25" hidden="1">
      <c r="A23" s="682"/>
      <c r="C23" s="570"/>
      <c r="D23" s="2416">
        <v>3</v>
      </c>
      <c r="E23" s="2418" t="s">
        <v>172</v>
      </c>
      <c r="F23" s="2420" t="s">
        <v>56</v>
      </c>
      <c r="G23" s="2418"/>
      <c r="H23" s="2423"/>
      <c r="I23" s="2425"/>
      <c r="J23" s="2427"/>
      <c r="K23" s="2410"/>
      <c r="L23" s="2410"/>
      <c r="M23" s="2410"/>
      <c r="N23" s="2412"/>
      <c r="O23" s="2410"/>
      <c r="P23" s="2410"/>
      <c r="Q23" s="2410"/>
      <c r="R23" s="2415"/>
      <c r="S23" s="2410"/>
      <c r="T23" s="1786"/>
      <c r="U23" s="1786"/>
      <c r="V23" s="1785"/>
      <c r="W23" s="1662"/>
      <c r="X23" s="1633"/>
      <c r="Y23" s="1633"/>
      <c r="Z23" s="1633"/>
      <c r="AA23" s="1633"/>
      <c r="AB23" s="1633"/>
      <c r="AC23" s="1633" t="s">
        <v>173</v>
      </c>
      <c r="AD23" s="1633" t="s">
        <v>174</v>
      </c>
      <c r="AE23" s="1633" t="s">
        <v>175</v>
      </c>
      <c r="AF23" s="1633" t="s">
        <v>176</v>
      </c>
      <c r="AG23" s="1633" t="s">
        <v>177</v>
      </c>
      <c r="AH23" s="1633" t="str">
        <f>IF($E$23=0,"",$E$23)</f>
        <v>Тарифы на теплоноситель, поставляемый теплоснабжающими организациями потребителям, другим теплоснабжающим организациям</v>
      </c>
      <c r="AI23" s="1633" t="str">
        <f>IF($G$23=0,"",$G$23)</f>
        <v/>
      </c>
      <c r="AJ23" s="1633" t="str">
        <f>IF($J$23=0,"",$J$23)</f>
        <v/>
      </c>
      <c r="AK23" s="1633" t="str">
        <f>IF($K$23="нет","без дифференциации",IF($N$23=0,"",$N$23))</f>
        <v/>
      </c>
      <c r="AL23" s="1633" t="str">
        <f>IF($O$23="нет","без дифференциации",IF($R$23=0,"",$R$23))</f>
        <v/>
      </c>
      <c r="AM23" s="1633" t="str">
        <f>IF($S$23="нет","без дифференциации",IF($V$23=0,"",$V$23))</f>
        <v/>
      </c>
      <c r="AN23" s="2138">
        <f>$I$23</f>
        <v>0</v>
      </c>
      <c r="AO23" s="1633" t="str">
        <f>$I$23&amp;"."&amp;$M$23</f>
        <v>.</v>
      </c>
      <c r="AP23" s="1625" t="str">
        <f>$I$23&amp;"."&amp;$M$23&amp;"."&amp;$Q$23</f>
        <v>..</v>
      </c>
      <c r="AQ23" s="1625" t="str">
        <f>$I$23&amp;"."&amp;$M$23&amp;"."&amp;$Q$23&amp;"."&amp;$U$23</f>
        <v>...</v>
      </c>
    </row>
    <row s="31717" customFormat="1" customHeight="1" ht="17.25" hidden="1">
      <c r="A24" s="682"/>
      <c r="C24" s="681"/>
      <c r="D24" s="2416"/>
      <c r="E24" s="2418"/>
      <c r="F24" s="2421"/>
      <c r="G24" s="2418"/>
      <c r="H24" s="2424"/>
      <c r="I24" s="2426"/>
      <c r="J24" s="2428"/>
      <c r="K24" s="2411"/>
      <c r="L24" s="2411"/>
      <c r="M24" s="2411"/>
      <c r="N24" s="2413"/>
      <c r="O24" s="2411"/>
      <c r="P24" s="2411"/>
      <c r="Q24" s="2411"/>
      <c r="R24" s="2414"/>
      <c r="S24" s="2411"/>
      <c r="T24" s="1663"/>
      <c r="U24" s="1663"/>
      <c r="V24" s="1663"/>
      <c r="W24" s="1664"/>
      <c r="X24" s="1625"/>
      <c r="Y24" s="1625"/>
      <c r="Z24" s="1625"/>
      <c r="AA24" s="1625"/>
      <c r="AB24" s="1625"/>
      <c r="AC24" s="1625"/>
      <c r="AD24" s="1625"/>
      <c r="AE24" s="1625"/>
      <c r="AF24" s="1625"/>
      <c r="AG24" s="1625"/>
      <c r="AH24" s="1625"/>
      <c r="AI24" s="1625"/>
      <c r="AJ24" s="1625"/>
      <c r="AK24" s="1625"/>
      <c r="AL24" s="1625"/>
      <c r="AM24" s="1625"/>
      <c r="AN24" s="1625"/>
      <c r="AO24" s="1625"/>
      <c r="AP24" s="1625"/>
      <c r="AQ24" s="1625"/>
    </row>
    <row s="31717" customFormat="1" customHeight="1" ht="17.25" hidden="1">
      <c r="A25" s="682"/>
      <c r="C25" s="681"/>
      <c r="D25" s="2417"/>
      <c r="E25" s="2419"/>
      <c r="F25" s="2421"/>
      <c r="G25" s="2419"/>
      <c r="H25" s="2424"/>
      <c r="I25" s="2426"/>
      <c r="J25" s="2429"/>
      <c r="K25" s="2411"/>
      <c r="L25" s="2411"/>
      <c r="M25" s="2411"/>
      <c r="N25" s="2414"/>
      <c r="O25" s="2411"/>
      <c r="P25" s="1784"/>
      <c r="Q25" s="1663"/>
      <c r="R25" s="1663"/>
      <c r="S25" s="690"/>
      <c r="T25" s="690"/>
      <c r="U25" s="690"/>
      <c r="V25" s="690"/>
      <c r="W25" s="1664"/>
      <c r="X25" s="1625"/>
      <c r="Y25" s="1625"/>
      <c r="Z25" s="1625"/>
      <c r="AA25" s="1625"/>
      <c r="AB25" s="1625"/>
      <c r="AC25" s="1625"/>
      <c r="AD25" s="1625"/>
      <c r="AE25" s="1625"/>
      <c r="AF25" s="1625"/>
      <c r="AG25" s="1625"/>
      <c r="AH25" s="1625"/>
      <c r="AI25" s="1625"/>
      <c r="AJ25" s="1625"/>
      <c r="AK25" s="1625"/>
      <c r="AL25" s="1625"/>
      <c r="AM25" s="1625"/>
      <c r="AN25" s="1625"/>
      <c r="AO25" s="1625"/>
      <c r="AP25" s="1625"/>
      <c r="AQ25" s="1625"/>
    </row>
    <row s="31717" customFormat="1" customHeight="1" ht="17.25" hidden="1">
      <c r="A26" s="682"/>
      <c r="C26" s="681"/>
      <c r="D26" s="2417"/>
      <c r="E26" s="2419"/>
      <c r="F26" s="2421"/>
      <c r="G26" s="2419"/>
      <c r="H26" s="2424"/>
      <c r="I26" s="2426"/>
      <c r="J26" s="2429"/>
      <c r="K26" s="2411"/>
      <c r="L26" s="1663"/>
      <c r="M26" s="1663"/>
      <c r="N26" s="1663"/>
      <c r="O26" s="1663"/>
      <c r="P26" s="1663"/>
      <c r="Q26" s="1663"/>
      <c r="R26" s="1663"/>
      <c r="S26" s="690"/>
      <c r="T26" s="690"/>
      <c r="U26" s="690"/>
      <c r="V26" s="690"/>
      <c r="W26" s="1664"/>
      <c r="X26" s="1625"/>
      <c r="Y26" s="1625"/>
      <c r="Z26" s="1625"/>
      <c r="AA26" s="1625"/>
      <c r="AB26" s="1625"/>
      <c r="AC26" s="1625"/>
      <c r="AD26" s="1625"/>
      <c r="AE26" s="1625"/>
      <c r="AF26" s="1625"/>
      <c r="AG26" s="1625"/>
      <c r="AH26" s="1625"/>
      <c r="AI26" s="1625"/>
      <c r="AJ26" s="1625"/>
      <c r="AK26" s="1625"/>
      <c r="AL26" s="1625"/>
      <c r="AM26" s="1625"/>
      <c r="AN26" s="1625"/>
      <c r="AO26" s="1625"/>
      <c r="AP26" s="1625"/>
      <c r="AQ26" s="1625"/>
    </row>
    <row s="31717" customFormat="1" customHeight="1" ht="17.25" hidden="1">
      <c r="A27" s="682"/>
      <c r="C27" s="681"/>
      <c r="D27" s="2417"/>
      <c r="E27" s="2419"/>
      <c r="F27" s="2422"/>
      <c r="G27" s="2419"/>
      <c r="H27" s="1665"/>
      <c r="I27" s="1666"/>
      <c r="J27" s="1666"/>
      <c r="K27" s="1666"/>
      <c r="L27" s="1666"/>
      <c r="M27" s="1666"/>
      <c r="N27" s="1666"/>
      <c r="O27" s="1666"/>
      <c r="P27" s="1666"/>
      <c r="Q27" s="1666"/>
      <c r="R27" s="1666"/>
      <c r="S27" s="1667"/>
      <c r="T27" s="1667"/>
      <c r="U27" s="1667"/>
      <c r="V27" s="1667"/>
      <c r="W27" s="1668"/>
      <c r="X27" s="1625"/>
      <c r="Y27" s="1625"/>
      <c r="Z27" s="1625"/>
      <c r="AA27" s="1625"/>
      <c r="AB27" s="1625"/>
      <c r="AC27" s="1625"/>
      <c r="AD27" s="1625"/>
      <c r="AE27" s="1625"/>
      <c r="AF27" s="1625"/>
      <c r="AG27" s="1625"/>
      <c r="AH27" s="1625"/>
      <c r="AI27" s="1625"/>
      <c r="AJ27" s="1625"/>
      <c r="AK27" s="1625"/>
      <c r="AL27" s="1625"/>
      <c r="AM27" s="1625"/>
      <c r="AN27" s="1625"/>
      <c r="AO27" s="1625"/>
      <c r="AP27" s="1625"/>
      <c r="AQ27" s="1625"/>
    </row>
    <row s="31717" customFormat="1" customHeight="1" ht="17.25" hidden="1">
      <c r="A28" s="682"/>
      <c r="C28" s="570"/>
      <c r="D28" s="2416">
        <v>4</v>
      </c>
      <c r="E28" s="2418" t="s">
        <v>178</v>
      </c>
      <c r="F28" s="2420" t="s">
        <v>56</v>
      </c>
      <c r="G28" s="2418"/>
      <c r="H28" s="2423"/>
      <c r="I28" s="2425"/>
      <c r="J28" s="2427"/>
      <c r="K28" s="2410"/>
      <c r="L28" s="2410"/>
      <c r="M28" s="2410"/>
      <c r="N28" s="2412"/>
      <c r="O28" s="2410"/>
      <c r="P28" s="2410"/>
      <c r="Q28" s="2410"/>
      <c r="R28" s="2415"/>
      <c r="S28" s="2410"/>
      <c r="T28" s="1786"/>
      <c r="U28" s="1786"/>
      <c r="V28" s="1785"/>
      <c r="W28" s="1662"/>
      <c r="X28" s="1633"/>
      <c r="Y28" s="1633"/>
      <c r="Z28" s="1633"/>
      <c r="AA28" s="1633"/>
      <c r="AB28" s="1633"/>
      <c r="AC28" s="1633" t="s">
        <v>179</v>
      </c>
      <c r="AD28" s="1633" t="s">
        <v>180</v>
      </c>
      <c r="AE28" s="1633" t="s">
        <v>181</v>
      </c>
      <c r="AF28" s="1633" t="s">
        <v>182</v>
      </c>
      <c r="AG28" s="1633" t="s">
        <v>183</v>
      </c>
      <c r="AH28" s="1633"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633" t="str">
        <f>IF($G$28=0,"",$G$28)</f>
        <v/>
      </c>
      <c r="AJ28" s="1633" t="str">
        <f>IF($J$28=0,"",$J$28)</f>
        <v/>
      </c>
      <c r="AK28" s="1633" t="str">
        <f>IF($K$28="нет","без дифференциации",IF($N$28=0,"",$N$28))</f>
        <v/>
      </c>
      <c r="AL28" s="1633" t="str">
        <f>IF($O$28="нет","без дифференциации",IF($R$28=0,"",$R$28))</f>
        <v/>
      </c>
      <c r="AM28" s="1633" t="str">
        <f>IF($S$28="нет","без дифференциации",IF($V$28=0,"",$V$28))</f>
        <v/>
      </c>
      <c r="AN28" s="2138">
        <f>$I$28</f>
        <v>0</v>
      </c>
      <c r="AO28" s="1633" t="str">
        <f>$I$28&amp;"."&amp;$M$28</f>
        <v>.</v>
      </c>
      <c r="AP28" s="1625" t="str">
        <f>$I$28&amp;"."&amp;$M$28&amp;"."&amp;$Q$28</f>
        <v>..</v>
      </c>
      <c r="AQ28" s="1625" t="str">
        <f>$I$28&amp;"."&amp;$M$28&amp;"."&amp;$Q$28&amp;"."&amp;$U$28</f>
        <v>...</v>
      </c>
    </row>
    <row s="31717" customFormat="1" customHeight="1" ht="17.25" hidden="1">
      <c r="A29" s="682"/>
      <c r="C29" s="681"/>
      <c r="D29" s="2416"/>
      <c r="E29" s="2418"/>
      <c r="F29" s="2421"/>
      <c r="G29" s="2418"/>
      <c r="H29" s="2424"/>
      <c r="I29" s="2426"/>
      <c r="J29" s="2428"/>
      <c r="K29" s="2411"/>
      <c r="L29" s="2411"/>
      <c r="M29" s="2411"/>
      <c r="N29" s="2413"/>
      <c r="O29" s="2411"/>
      <c r="P29" s="2411"/>
      <c r="Q29" s="2411"/>
      <c r="R29" s="2414"/>
      <c r="S29" s="2411"/>
      <c r="T29" s="1663"/>
      <c r="U29" s="1663"/>
      <c r="V29" s="1663"/>
      <c r="W29" s="1664"/>
      <c r="X29" s="1625"/>
      <c r="Y29" s="1625"/>
      <c r="Z29" s="1625"/>
      <c r="AA29" s="1625"/>
      <c r="AB29" s="1625"/>
      <c r="AC29" s="1625"/>
      <c r="AD29" s="1625"/>
      <c r="AE29" s="1625"/>
      <c r="AF29" s="1625"/>
      <c r="AG29" s="1625"/>
      <c r="AH29" s="1625"/>
      <c r="AI29" s="1625"/>
      <c r="AJ29" s="1625"/>
      <c r="AK29" s="1625"/>
      <c r="AL29" s="1625"/>
      <c r="AM29" s="1625"/>
      <c r="AN29" s="1625"/>
      <c r="AO29" s="1625"/>
      <c r="AP29" s="1625"/>
      <c r="AQ29" s="1625"/>
    </row>
    <row s="31717" customFormat="1" customHeight="1" ht="17.25" hidden="1">
      <c r="A30" s="682"/>
      <c r="C30" s="681"/>
      <c r="D30" s="2417"/>
      <c r="E30" s="2419"/>
      <c r="F30" s="2421"/>
      <c r="G30" s="2419"/>
      <c r="H30" s="2424"/>
      <c r="I30" s="2426"/>
      <c r="J30" s="2429"/>
      <c r="K30" s="2411"/>
      <c r="L30" s="2411"/>
      <c r="M30" s="2411"/>
      <c r="N30" s="2414"/>
      <c r="O30" s="2411"/>
      <c r="P30" s="1784"/>
      <c r="Q30" s="1663"/>
      <c r="R30" s="1663"/>
      <c r="S30" s="690"/>
      <c r="T30" s="690"/>
      <c r="U30" s="690"/>
      <c r="V30" s="690"/>
      <c r="W30" s="1664"/>
      <c r="X30" s="1625"/>
      <c r="Y30" s="1625"/>
      <c r="Z30" s="1625"/>
      <c r="AA30" s="1625"/>
      <c r="AB30" s="1625"/>
      <c r="AC30" s="1625"/>
      <c r="AD30" s="1625"/>
      <c r="AE30" s="1625"/>
      <c r="AF30" s="1625"/>
      <c r="AG30" s="1625"/>
      <c r="AH30" s="1625"/>
      <c r="AI30" s="1625"/>
      <c r="AJ30" s="1625"/>
      <c r="AK30" s="1625"/>
      <c r="AL30" s="1625"/>
      <c r="AM30" s="1625"/>
      <c r="AN30" s="1625"/>
      <c r="AO30" s="1625"/>
      <c r="AP30" s="1625"/>
      <c r="AQ30" s="1625"/>
    </row>
    <row s="31717" customFormat="1" customHeight="1" ht="17.25" hidden="1">
      <c r="A31" s="682"/>
      <c r="C31" s="681"/>
      <c r="D31" s="2417"/>
      <c r="E31" s="2419"/>
      <c r="F31" s="2421"/>
      <c r="G31" s="2419"/>
      <c r="H31" s="2424"/>
      <c r="I31" s="2426"/>
      <c r="J31" s="2429"/>
      <c r="K31" s="2411"/>
      <c r="L31" s="1663"/>
      <c r="M31" s="1663"/>
      <c r="N31" s="1663"/>
      <c r="O31" s="1663"/>
      <c r="P31" s="1663"/>
      <c r="Q31" s="1663"/>
      <c r="R31" s="1663"/>
      <c r="S31" s="690"/>
      <c r="T31" s="690"/>
      <c r="U31" s="690"/>
      <c r="V31" s="690"/>
      <c r="W31" s="1664"/>
      <c r="X31" s="1625"/>
      <c r="Y31" s="1625"/>
      <c r="Z31" s="1625"/>
      <c r="AA31" s="1625"/>
      <c r="AB31" s="1625"/>
      <c r="AC31" s="1625"/>
      <c r="AD31" s="1625"/>
      <c r="AE31" s="1625"/>
      <c r="AF31" s="1625"/>
      <c r="AG31" s="1625"/>
      <c r="AH31" s="1625"/>
      <c r="AI31" s="1625"/>
      <c r="AJ31" s="1625"/>
      <c r="AK31" s="1625"/>
      <c r="AL31" s="1625"/>
      <c r="AM31" s="1625"/>
      <c r="AN31" s="1625"/>
      <c r="AO31" s="1625"/>
      <c r="AP31" s="1625"/>
      <c r="AQ31" s="1625"/>
    </row>
    <row s="31717" customFormat="1" customHeight="1" ht="17.25" hidden="1">
      <c r="A32" s="682"/>
      <c r="C32" s="681"/>
      <c r="D32" s="2417"/>
      <c r="E32" s="2419"/>
      <c r="F32" s="2422"/>
      <c r="G32" s="2419"/>
      <c r="H32" s="1665"/>
      <c r="I32" s="1666"/>
      <c r="J32" s="1666"/>
      <c r="K32" s="1666"/>
      <c r="L32" s="1666"/>
      <c r="M32" s="1666"/>
      <c r="N32" s="1666"/>
      <c r="O32" s="1666"/>
      <c r="P32" s="1666"/>
      <c r="Q32" s="1666"/>
      <c r="R32" s="1666"/>
      <c r="S32" s="1667"/>
      <c r="T32" s="1667"/>
      <c r="U32" s="1667"/>
      <c r="V32" s="1667"/>
      <c r="W32" s="1668"/>
      <c r="X32" s="1625"/>
      <c r="Y32" s="1625"/>
      <c r="Z32" s="1625"/>
      <c r="AA32" s="1625"/>
      <c r="AB32" s="1625"/>
      <c r="AC32" s="1625"/>
      <c r="AD32" s="1625"/>
      <c r="AE32" s="1625"/>
      <c r="AF32" s="1625"/>
      <c r="AG32" s="1625"/>
      <c r="AH32" s="1625"/>
      <c r="AI32" s="1625"/>
      <c r="AJ32" s="1625"/>
      <c r="AK32" s="1625"/>
      <c r="AL32" s="1625"/>
      <c r="AM32" s="1625"/>
      <c r="AN32" s="1625"/>
      <c r="AO32" s="1625"/>
      <c r="AP32" s="1625"/>
      <c r="AQ32" s="1625"/>
    </row>
    <row s="31717" customFormat="1" customHeight="1" ht="17.25" hidden="1">
      <c r="A33" s="682"/>
      <c r="C33" s="570"/>
      <c r="D33" s="2416">
        <v>5</v>
      </c>
      <c r="E33" s="2418" t="s">
        <v>184</v>
      </c>
      <c r="F33" s="2420" t="s">
        <v>56</v>
      </c>
      <c r="G33" s="2418"/>
      <c r="H33" s="2423"/>
      <c r="I33" s="2425"/>
      <c r="J33" s="2427"/>
      <c r="K33" s="2410"/>
      <c r="L33" s="2410"/>
      <c r="M33" s="2410"/>
      <c r="N33" s="2412"/>
      <c r="O33" s="2410"/>
      <c r="P33" s="2410"/>
      <c r="Q33" s="2410"/>
      <c r="R33" s="2415"/>
      <c r="S33" s="2410"/>
      <c r="T33" s="1786"/>
      <c r="U33" s="1786"/>
      <c r="V33" s="1785"/>
      <c r="W33" s="1662"/>
      <c r="X33" s="1633"/>
      <c r="Y33" s="1633"/>
      <c r="Z33" s="1633"/>
      <c r="AA33" s="1633"/>
      <c r="AB33" s="1633"/>
      <c r="AC33" s="1633" t="s">
        <v>185</v>
      </c>
      <c r="AD33" s="1633" t="s">
        <v>186</v>
      </c>
      <c r="AE33" s="1633" t="s">
        <v>187</v>
      </c>
      <c r="AF33" s="1633" t="s">
        <v>188</v>
      </c>
      <c r="AG33" s="1633" t="s">
        <v>189</v>
      </c>
      <c r="AH33" s="1633" t="str">
        <f>IF($E$33=0,"",$E$33)</f>
        <v>Тарифы на услуги по передаче тепловой энергии</v>
      </c>
      <c r="AI33" s="1633" t="str">
        <f>IF($G$33=0,"",$G$33)</f>
        <v/>
      </c>
      <c r="AJ33" s="1633" t="str">
        <f>IF($J$33=0,"",$J$33)</f>
        <v/>
      </c>
      <c r="AK33" s="1633" t="str">
        <f>IF($K$33="нет","без дифференциации",IF($N$33=0,"",$N$33))</f>
        <v/>
      </c>
      <c r="AL33" s="1633" t="str">
        <f>IF($O$33="нет","без дифференциации",IF($R$33=0,"",$R$33))</f>
        <v/>
      </c>
      <c r="AM33" s="1633" t="str">
        <f>IF($S$33="нет","без дифференциации",IF($V$33=0,"",$V$33))</f>
        <v/>
      </c>
      <c r="AN33" s="2138">
        <f>$I$33</f>
        <v>0</v>
      </c>
      <c r="AO33" s="1633" t="str">
        <f>$I$33&amp;"."&amp;$M$33</f>
        <v>.</v>
      </c>
      <c r="AP33" s="1625" t="str">
        <f>$I$33&amp;"."&amp;$M$33&amp;"."&amp;$Q$33</f>
        <v>..</v>
      </c>
      <c r="AQ33" s="1625" t="str">
        <f>$I$33&amp;"."&amp;$M$33&amp;"."&amp;$Q$33&amp;"."&amp;$U$33</f>
        <v>...</v>
      </c>
    </row>
    <row s="31717" customFormat="1" customHeight="1" ht="17.25" hidden="1">
      <c r="A34" s="682"/>
      <c r="C34" s="681"/>
      <c r="D34" s="2416"/>
      <c r="E34" s="2418"/>
      <c r="F34" s="2421"/>
      <c r="G34" s="2418"/>
      <c r="H34" s="2424"/>
      <c r="I34" s="2426"/>
      <c r="J34" s="2428"/>
      <c r="K34" s="2411"/>
      <c r="L34" s="2411"/>
      <c r="M34" s="2411"/>
      <c r="N34" s="2413"/>
      <c r="O34" s="2411"/>
      <c r="P34" s="2411"/>
      <c r="Q34" s="2411"/>
      <c r="R34" s="2414"/>
      <c r="S34" s="2411"/>
      <c r="T34" s="1663"/>
      <c r="U34" s="1663"/>
      <c r="V34" s="1663"/>
      <c r="W34" s="1664"/>
      <c r="X34" s="1625"/>
      <c r="Y34" s="1625"/>
      <c r="Z34" s="1625"/>
      <c r="AA34" s="1625"/>
      <c r="AB34" s="1625"/>
      <c r="AC34" s="1625"/>
      <c r="AD34" s="1625"/>
      <c r="AE34" s="1625"/>
      <c r="AF34" s="1625"/>
      <c r="AG34" s="1625"/>
      <c r="AH34" s="1625"/>
      <c r="AI34" s="1625"/>
      <c r="AJ34" s="1625"/>
      <c r="AK34" s="1625"/>
      <c r="AL34" s="1625"/>
      <c r="AM34" s="1625"/>
      <c r="AN34" s="1625"/>
      <c r="AO34" s="1625"/>
      <c r="AP34" s="1625"/>
      <c r="AQ34" s="1625"/>
    </row>
    <row s="31717" customFormat="1" customHeight="1" ht="17.25" hidden="1">
      <c r="A35" s="682"/>
      <c r="C35" s="681"/>
      <c r="D35" s="2417"/>
      <c r="E35" s="2419"/>
      <c r="F35" s="2421"/>
      <c r="G35" s="2419"/>
      <c r="H35" s="2424"/>
      <c r="I35" s="2426"/>
      <c r="J35" s="2429"/>
      <c r="K35" s="2411"/>
      <c r="L35" s="2411"/>
      <c r="M35" s="2411"/>
      <c r="N35" s="2414"/>
      <c r="O35" s="2411"/>
      <c r="P35" s="1784"/>
      <c r="Q35" s="1663"/>
      <c r="R35" s="1663"/>
      <c r="S35" s="690"/>
      <c r="T35" s="690"/>
      <c r="U35" s="690"/>
      <c r="V35" s="690"/>
      <c r="W35" s="1664"/>
      <c r="X35" s="1625"/>
      <c r="Y35" s="1625"/>
      <c r="Z35" s="1625"/>
      <c r="AA35" s="1625"/>
      <c r="AB35" s="1625"/>
      <c r="AC35" s="1625"/>
      <c r="AD35" s="1625"/>
      <c r="AE35" s="1625"/>
      <c r="AF35" s="1625"/>
      <c r="AG35" s="1625"/>
      <c r="AH35" s="1625"/>
      <c r="AI35" s="1625"/>
      <c r="AJ35" s="1625"/>
      <c r="AK35" s="1625"/>
      <c r="AL35" s="1625"/>
      <c r="AM35" s="1625"/>
      <c r="AN35" s="1625"/>
      <c r="AO35" s="1625"/>
      <c r="AP35" s="1625"/>
      <c r="AQ35" s="1625"/>
    </row>
    <row s="31717" customFormat="1" customHeight="1" ht="17.25" hidden="1">
      <c r="A36" s="682"/>
      <c r="C36" s="681"/>
      <c r="D36" s="2417"/>
      <c r="E36" s="2419"/>
      <c r="F36" s="2421"/>
      <c r="G36" s="2419"/>
      <c r="H36" s="2424"/>
      <c r="I36" s="2426"/>
      <c r="J36" s="2429"/>
      <c r="K36" s="2411"/>
      <c r="L36" s="1663"/>
      <c r="M36" s="1663"/>
      <c r="N36" s="1663"/>
      <c r="O36" s="1663"/>
      <c r="P36" s="1663"/>
      <c r="Q36" s="1663"/>
      <c r="R36" s="1663"/>
      <c r="S36" s="690"/>
      <c r="T36" s="690"/>
      <c r="U36" s="690"/>
      <c r="V36" s="690"/>
      <c r="W36" s="1664"/>
      <c r="X36" s="1625"/>
      <c r="Y36" s="1625"/>
      <c r="Z36" s="1625"/>
      <c r="AA36" s="1625"/>
      <c r="AB36" s="1625"/>
      <c r="AC36" s="1625"/>
      <c r="AD36" s="1625"/>
      <c r="AE36" s="1625"/>
      <c r="AF36" s="1625"/>
      <c r="AG36" s="1625"/>
      <c r="AH36" s="1625"/>
      <c r="AI36" s="1625"/>
      <c r="AJ36" s="1625"/>
      <c r="AK36" s="1625"/>
      <c r="AL36" s="1625"/>
      <c r="AM36" s="1625"/>
      <c r="AN36" s="1625"/>
      <c r="AO36" s="1625"/>
      <c r="AP36" s="1625"/>
      <c r="AQ36" s="1625"/>
    </row>
    <row s="31717" customFormat="1" customHeight="1" ht="17.25" hidden="1">
      <c r="A37" s="682"/>
      <c r="C37" s="681"/>
      <c r="D37" s="2417"/>
      <c r="E37" s="2419"/>
      <c r="F37" s="2422"/>
      <c r="G37" s="2419"/>
      <c r="H37" s="1665"/>
      <c r="I37" s="1666"/>
      <c r="J37" s="1666"/>
      <c r="K37" s="1666"/>
      <c r="L37" s="1666"/>
      <c r="M37" s="1666"/>
      <c r="N37" s="1666"/>
      <c r="O37" s="1666"/>
      <c r="P37" s="1666"/>
      <c r="Q37" s="1666"/>
      <c r="R37" s="1666"/>
      <c r="S37" s="1667"/>
      <c r="T37" s="1667"/>
      <c r="U37" s="1667"/>
      <c r="V37" s="1667"/>
      <c r="W37" s="1668"/>
      <c r="X37" s="1625"/>
      <c r="Y37" s="1625"/>
      <c r="Z37" s="1625"/>
      <c r="AA37" s="1625"/>
      <c r="AB37" s="1625"/>
      <c r="AC37" s="1625"/>
      <c r="AD37" s="1625"/>
      <c r="AE37" s="1625"/>
      <c r="AF37" s="1625"/>
      <c r="AG37" s="1625"/>
      <c r="AH37" s="1625"/>
      <c r="AI37" s="1625"/>
      <c r="AJ37" s="1625"/>
      <c r="AK37" s="1625"/>
      <c r="AL37" s="1625"/>
      <c r="AM37" s="1625"/>
      <c r="AN37" s="1625"/>
      <c r="AO37" s="1625"/>
      <c r="AP37" s="1625"/>
      <c r="AQ37" s="1625"/>
    </row>
    <row s="31717" customFormat="1" customHeight="1" ht="17.25" hidden="1">
      <c r="A38" s="682"/>
      <c r="C38" s="570"/>
      <c r="D38" s="2416">
        <v>6</v>
      </c>
      <c r="E38" s="2418" t="s">
        <v>190</v>
      </c>
      <c r="F38" s="2420" t="s">
        <v>56</v>
      </c>
      <c r="G38" s="2418"/>
      <c r="H38" s="2423"/>
      <c r="I38" s="2425"/>
      <c r="J38" s="2427"/>
      <c r="K38" s="2410"/>
      <c r="L38" s="2410"/>
      <c r="M38" s="2410"/>
      <c r="N38" s="2412"/>
      <c r="O38" s="2410"/>
      <c r="P38" s="2410"/>
      <c r="Q38" s="2410"/>
      <c r="R38" s="2415"/>
      <c r="S38" s="2410"/>
      <c r="T38" s="1786"/>
      <c r="U38" s="1786"/>
      <c r="V38" s="1785"/>
      <c r="W38" s="1662"/>
      <c r="X38" s="1633"/>
      <c r="Y38" s="1633"/>
      <c r="Z38" s="1633"/>
      <c r="AA38" s="1633"/>
      <c r="AB38" s="1633"/>
      <c r="AC38" s="1633" t="s">
        <v>191</v>
      </c>
      <c r="AD38" s="1633" t="s">
        <v>192</v>
      </c>
      <c r="AE38" s="1633" t="s">
        <v>193</v>
      </c>
      <c r="AF38" s="1633" t="s">
        <v>194</v>
      </c>
      <c r="AG38" s="1633" t="s">
        <v>195</v>
      </c>
      <c r="AH38" s="1633" t="str">
        <f>IF($E$38=0,"",$E$38)</f>
        <v>Тарифы на услуги по передаче теплоносителя</v>
      </c>
      <c r="AI38" s="1633" t="str">
        <f>IF($G$38=0,"",$G$38)</f>
        <v/>
      </c>
      <c r="AJ38" s="1633" t="str">
        <f>IF($J$38=0,"",$J$38)</f>
        <v/>
      </c>
      <c r="AK38" s="1633" t="str">
        <f>IF($K$38="нет","без дифференциации",IF($N$38=0,"",$N$38))</f>
        <v/>
      </c>
      <c r="AL38" s="1633" t="str">
        <f>IF($O$38="нет","без дифференциации",IF($R$38=0,"",$R$38))</f>
        <v/>
      </c>
      <c r="AM38" s="1633" t="str">
        <f>IF($S$38="нет","без дифференциации",IF($V$38=0,"",$V$38))</f>
        <v/>
      </c>
      <c r="AN38" s="2138">
        <f>$I$38</f>
        <v>0</v>
      </c>
      <c r="AO38" s="1633" t="str">
        <f>$I$38&amp;"."&amp;$M$38</f>
        <v>.</v>
      </c>
      <c r="AP38" s="1625" t="str">
        <f>$I$38&amp;"."&amp;$M$38&amp;"."&amp;$Q$38</f>
        <v>..</v>
      </c>
      <c r="AQ38" s="1625" t="str">
        <f>$I$38&amp;"."&amp;$M$38&amp;"."&amp;$Q$38&amp;"."&amp;$U$38</f>
        <v>...</v>
      </c>
    </row>
    <row s="31717" customFormat="1" customHeight="1" ht="17.25" hidden="1">
      <c r="A39" s="682"/>
      <c r="C39" s="681"/>
      <c r="D39" s="2416"/>
      <c r="E39" s="2418"/>
      <c r="F39" s="2421"/>
      <c r="G39" s="2418"/>
      <c r="H39" s="2424"/>
      <c r="I39" s="2426"/>
      <c r="J39" s="2428"/>
      <c r="K39" s="2411"/>
      <c r="L39" s="2411"/>
      <c r="M39" s="2411"/>
      <c r="N39" s="2413"/>
      <c r="O39" s="2411"/>
      <c r="P39" s="2411"/>
      <c r="Q39" s="2411"/>
      <c r="R39" s="2414"/>
      <c r="S39" s="2411"/>
      <c r="T39" s="1663"/>
      <c r="U39" s="1663"/>
      <c r="V39" s="1663"/>
      <c r="W39" s="1664"/>
      <c r="X39" s="1625"/>
      <c r="Y39" s="1625"/>
      <c r="Z39" s="1625"/>
      <c r="AA39" s="1625"/>
      <c r="AB39" s="1625"/>
      <c r="AC39" s="1625"/>
      <c r="AD39" s="1625"/>
      <c r="AE39" s="1625"/>
      <c r="AF39" s="1625"/>
      <c r="AG39" s="1625"/>
      <c r="AH39" s="1625"/>
      <c r="AI39" s="1625"/>
      <c r="AJ39" s="1625"/>
      <c r="AK39" s="1625"/>
      <c r="AL39" s="1625"/>
      <c r="AM39" s="1625"/>
      <c r="AN39" s="1625"/>
      <c r="AO39" s="1625"/>
      <c r="AP39" s="1625"/>
      <c r="AQ39" s="1625"/>
    </row>
    <row s="31717" customFormat="1" customHeight="1" ht="17.25" hidden="1">
      <c r="A40" s="682"/>
      <c r="C40" s="681"/>
      <c r="D40" s="2417"/>
      <c r="E40" s="2419"/>
      <c r="F40" s="2421"/>
      <c r="G40" s="2419"/>
      <c r="H40" s="2424"/>
      <c r="I40" s="2426"/>
      <c r="J40" s="2429"/>
      <c r="K40" s="2411"/>
      <c r="L40" s="2411"/>
      <c r="M40" s="2411"/>
      <c r="N40" s="2414"/>
      <c r="O40" s="2411"/>
      <c r="P40" s="1784"/>
      <c r="Q40" s="1663"/>
      <c r="R40" s="1663"/>
      <c r="S40" s="690"/>
      <c r="T40" s="690"/>
      <c r="U40" s="690"/>
      <c r="V40" s="690"/>
      <c r="W40" s="1664"/>
      <c r="X40" s="1625"/>
      <c r="Y40" s="1625"/>
      <c r="Z40" s="1625"/>
      <c r="AA40" s="1625"/>
      <c r="AB40" s="1625"/>
      <c r="AC40" s="1625"/>
      <c r="AD40" s="1625"/>
      <c r="AE40" s="1625"/>
      <c r="AF40" s="1625"/>
      <c r="AG40" s="1625"/>
      <c r="AH40" s="1625"/>
      <c r="AI40" s="1625"/>
      <c r="AJ40" s="1625"/>
      <c r="AK40" s="1625"/>
      <c r="AL40" s="1625"/>
      <c r="AM40" s="1625"/>
      <c r="AN40" s="1625"/>
      <c r="AO40" s="1625"/>
      <c r="AP40" s="1625"/>
      <c r="AQ40" s="1625"/>
    </row>
    <row s="31719" customFormat="1" customHeight="1" ht="17.25" hidden="1">
      <c r="A41" s="682"/>
      <c r="C41" s="570"/>
      <c r="D41" s="2417"/>
      <c r="E41" s="2419"/>
      <c r="F41" s="2421"/>
      <c r="G41" s="2419"/>
      <c r="H41" s="2424"/>
      <c r="I41" s="2426"/>
      <c r="J41" s="2429"/>
      <c r="K41" s="2411"/>
      <c r="L41" s="1663"/>
      <c r="M41" s="1663"/>
      <c r="N41" s="1663"/>
      <c r="O41" s="1663"/>
      <c r="P41" s="1663"/>
      <c r="Q41" s="1663"/>
      <c r="R41" s="1663"/>
      <c r="S41" s="690"/>
      <c r="T41" s="690"/>
      <c r="U41" s="690"/>
      <c r="V41" s="690"/>
      <c r="W41" s="1664"/>
      <c r="Y41" s="1633"/>
      <c r="Z41" s="1633"/>
      <c r="AA41" s="1633"/>
      <c r="AB41" s="1633"/>
      <c r="AC41" s="1633"/>
      <c r="AD41" s="1633"/>
      <c r="AE41" s="1633"/>
      <c r="AF41" s="1633"/>
      <c r="AG41" s="1633"/>
      <c r="AH41" s="1633"/>
      <c r="AI41" s="1633"/>
      <c r="AJ41" s="1633"/>
      <c r="AK41" s="1633"/>
      <c r="AL41" s="1633"/>
      <c r="AM41" s="1633"/>
      <c r="AN41" s="1633"/>
      <c r="AO41" s="1633"/>
      <c r="AP41" s="1633"/>
      <c r="AQ41" s="1633"/>
    </row>
    <row s="31717" customFormat="1" customHeight="1" ht="17.25" hidden="1">
      <c r="A42" s="682"/>
      <c r="C42" s="681"/>
      <c r="D42" s="2417"/>
      <c r="E42" s="2419"/>
      <c r="F42" s="2422"/>
      <c r="G42" s="2419"/>
      <c r="H42" s="1665"/>
      <c r="I42" s="1666"/>
      <c r="J42" s="1666"/>
      <c r="K42" s="1666"/>
      <c r="L42" s="1666"/>
      <c r="M42" s="1666"/>
      <c r="N42" s="1666"/>
      <c r="O42" s="1666"/>
      <c r="P42" s="1666"/>
      <c r="Q42" s="1666"/>
      <c r="R42" s="1666"/>
      <c r="S42" s="1667"/>
      <c r="T42" s="1667"/>
      <c r="U42" s="1667"/>
      <c r="V42" s="1667"/>
      <c r="W42" s="1668"/>
      <c r="X42" s="1625"/>
      <c r="Y42" s="1625"/>
      <c r="Z42" s="1625"/>
      <c r="AA42" s="1625"/>
      <c r="AB42" s="1625"/>
      <c r="AC42" s="1625"/>
      <c r="AD42" s="1625"/>
      <c r="AE42" s="1625"/>
      <c r="AF42" s="1625"/>
      <c r="AG42" s="1625"/>
      <c r="AH42" s="1625"/>
      <c r="AI42" s="1625"/>
      <c r="AJ42" s="1625"/>
      <c r="AK42" s="1625"/>
      <c r="AL42" s="1625"/>
      <c r="AM42" s="1625"/>
      <c r="AN42" s="1625"/>
      <c r="AO42" s="1625"/>
      <c r="AP42" s="1625"/>
      <c r="AQ42" s="1625"/>
    </row>
    <row s="31720" customFormat="1" customHeight="1" ht="17.25" hidden="1">
      <c r="A43" s="682"/>
      <c r="C43" s="570"/>
      <c r="D43" s="2433">
        <v>7</v>
      </c>
      <c r="E43" s="2436" t="s">
        <v>196</v>
      </c>
      <c r="F43" s="2420" t="s">
        <v>56</v>
      </c>
      <c r="G43" s="2436"/>
      <c r="H43" s="2423"/>
      <c r="I43" s="2425"/>
      <c r="J43" s="2427"/>
      <c r="K43" s="2410"/>
      <c r="L43" s="2410"/>
      <c r="M43" s="2410"/>
      <c r="N43" s="2412"/>
      <c r="O43" s="2410"/>
      <c r="P43" s="2410"/>
      <c r="Q43" s="2410"/>
      <c r="R43" s="2415"/>
      <c r="S43" s="2410"/>
      <c r="T43" s="1786"/>
      <c r="U43" s="1786"/>
      <c r="V43" s="1785"/>
      <c r="W43" s="1662"/>
      <c r="X43" s="1633"/>
      <c r="Y43" s="1633"/>
      <c r="Z43" s="1633"/>
      <c r="AA43" s="1633"/>
      <c r="AB43" s="1633"/>
      <c r="AC43" s="1633" t="s">
        <v>197</v>
      </c>
      <c r="AD43" s="1633" t="s">
        <v>198</v>
      </c>
      <c r="AE43" s="1633" t="s">
        <v>199</v>
      </c>
      <c r="AF43" s="1633" t="s">
        <v>200</v>
      </c>
      <c r="AG43" s="1633" t="s">
        <v>201</v>
      </c>
      <c r="AH43" s="1633" t="str">
        <f>IF($E$43=0,"",$E$43)</f>
        <v>Плата за услуги по поддержанию резервной тепловой мощности при отсутствии потребления тепловой энергии</v>
      </c>
      <c r="AI43" s="1633" t="str">
        <f>IF($G$43=0,"",$G$43)</f>
        <v/>
      </c>
      <c r="AJ43" s="1633" t="str">
        <f>IF($J$43=0,"",$J$43)</f>
        <v/>
      </c>
      <c r="AK43" s="1633" t="str">
        <f>IF($K$43="нет","без дифференциации",IF($N$43=0,"",$N$43))</f>
        <v/>
      </c>
      <c r="AL43" s="1633" t="str">
        <f>IF($O$43="нет","без дифференциации",IF($R$43=0,"",$R$43))</f>
        <v/>
      </c>
      <c r="AM43" s="1633" t="str">
        <f>IF($S$43="нет","без дифференциации",IF($V$43=0,"",$V$43))</f>
        <v/>
      </c>
      <c r="AN43" s="2138">
        <f>$I$43</f>
        <v>0</v>
      </c>
      <c r="AO43" s="1633" t="str">
        <f>$I$43&amp;"."&amp;$M$43</f>
        <v>.</v>
      </c>
      <c r="AP43" s="1625" t="str">
        <f>$I$43&amp;"."&amp;$M$43&amp;"."&amp;$Q$43</f>
        <v>..</v>
      </c>
      <c r="AQ43" s="1625" t="str">
        <f>$I$43&amp;"."&amp;$M$43&amp;"."&amp;$Q$43&amp;"."&amp;$U$43</f>
        <v>...</v>
      </c>
    </row>
    <row s="31720" customFormat="1" customHeight="1" ht="17.25" hidden="1">
      <c r="A44" s="682"/>
      <c r="C44" s="681"/>
      <c r="D44" s="2434"/>
      <c r="E44" s="2437"/>
      <c r="F44" s="2421"/>
      <c r="G44" s="2437"/>
      <c r="H44" s="2424"/>
      <c r="I44" s="2426"/>
      <c r="J44" s="2428"/>
      <c r="K44" s="2411"/>
      <c r="L44" s="2411"/>
      <c r="M44" s="2411"/>
      <c r="N44" s="2413"/>
      <c r="O44" s="2411"/>
      <c r="P44" s="2411"/>
      <c r="Q44" s="2411"/>
      <c r="R44" s="2414"/>
      <c r="S44" s="2411"/>
      <c r="T44" s="1663"/>
      <c r="U44" s="1663"/>
      <c r="V44" s="1663"/>
      <c r="W44" s="1664"/>
      <c r="X44" s="1625"/>
      <c r="Y44" s="1625"/>
      <c r="Z44" s="1625"/>
      <c r="AA44" s="1625"/>
      <c r="AB44" s="1625"/>
      <c r="AC44" s="1625"/>
      <c r="AD44" s="1625"/>
      <c r="AE44" s="1625"/>
      <c r="AF44" s="1625"/>
      <c r="AG44" s="1625"/>
      <c r="AH44" s="1625"/>
      <c r="AI44" s="1625"/>
      <c r="AJ44" s="1625"/>
      <c r="AK44" s="1625"/>
      <c r="AL44" s="1625"/>
      <c r="AM44" s="1625"/>
      <c r="AN44" s="1625"/>
      <c r="AO44" s="1625"/>
      <c r="AP44" s="1625"/>
      <c r="AQ44" s="1625"/>
    </row>
    <row s="31720" customFormat="1" customHeight="1" ht="17.25" hidden="1">
      <c r="A45" s="682"/>
      <c r="C45" s="681"/>
      <c r="D45" s="2434"/>
      <c r="E45" s="2437"/>
      <c r="F45" s="2421"/>
      <c r="G45" s="2437"/>
      <c r="H45" s="2424"/>
      <c r="I45" s="2426"/>
      <c r="J45" s="2429"/>
      <c r="K45" s="2411"/>
      <c r="L45" s="2411"/>
      <c r="M45" s="2411"/>
      <c r="N45" s="2414"/>
      <c r="O45" s="2411"/>
      <c r="P45" s="1784"/>
      <c r="Q45" s="1663"/>
      <c r="R45" s="1663"/>
      <c r="S45" s="690"/>
      <c r="T45" s="690"/>
      <c r="U45" s="690"/>
      <c r="V45" s="690"/>
      <c r="W45" s="1664"/>
      <c r="X45" s="1625"/>
      <c r="Y45" s="1625"/>
      <c r="Z45" s="1625"/>
      <c r="AA45" s="1625"/>
      <c r="AB45" s="1625"/>
      <c r="AC45" s="1625"/>
      <c r="AD45" s="1625"/>
      <c r="AE45" s="1625"/>
      <c r="AF45" s="1625"/>
      <c r="AG45" s="1625"/>
      <c r="AH45" s="1625"/>
      <c r="AI45" s="1625"/>
      <c r="AJ45" s="1625"/>
      <c r="AK45" s="1625"/>
      <c r="AL45" s="1625"/>
      <c r="AM45" s="1625"/>
      <c r="AN45" s="1625"/>
      <c r="AO45" s="1625"/>
      <c r="AP45" s="1625"/>
      <c r="AQ45" s="1625"/>
    </row>
    <row s="31719" customFormat="1" customHeight="1" ht="17.25" hidden="1">
      <c r="A46" s="682"/>
      <c r="C46" s="570"/>
      <c r="D46" s="2434"/>
      <c r="E46" s="2437"/>
      <c r="F46" s="2421"/>
      <c r="G46" s="2437"/>
      <c r="H46" s="2424"/>
      <c r="I46" s="2426"/>
      <c r="J46" s="2429"/>
      <c r="K46" s="2411"/>
      <c r="L46" s="1663"/>
      <c r="M46" s="1663"/>
      <c r="N46" s="1663"/>
      <c r="O46" s="1663"/>
      <c r="P46" s="1663"/>
      <c r="Q46" s="1663"/>
      <c r="R46" s="1663"/>
      <c r="S46" s="690"/>
      <c r="T46" s="690"/>
      <c r="U46" s="690"/>
      <c r="V46" s="690"/>
      <c r="W46" s="1664"/>
      <c r="Y46" s="1633"/>
      <c r="Z46" s="1633"/>
      <c r="AA46" s="1633"/>
      <c r="AB46" s="1633"/>
      <c r="AC46" s="1633"/>
      <c r="AD46" s="1633"/>
      <c r="AE46" s="1633"/>
      <c r="AF46" s="1633"/>
      <c r="AG46" s="1633"/>
      <c r="AH46" s="1633"/>
      <c r="AI46" s="1633"/>
      <c r="AJ46" s="1633"/>
      <c r="AK46" s="1633"/>
      <c r="AL46" s="1633"/>
      <c r="AM46" s="1633"/>
      <c r="AN46" s="1633"/>
      <c r="AO46" s="1633"/>
      <c r="AP46" s="1633"/>
      <c r="AQ46" s="1633"/>
    </row>
    <row s="31720" customFormat="1" customHeight="1" ht="17.25" hidden="1">
      <c r="A47" s="682"/>
      <c r="C47" s="681"/>
      <c r="D47" s="2435"/>
      <c r="E47" s="2438"/>
      <c r="F47" s="2422"/>
      <c r="G47" s="2438"/>
      <c r="H47" s="1665"/>
      <c r="I47" s="1666"/>
      <c r="J47" s="1666"/>
      <c r="K47" s="1666"/>
      <c r="L47" s="1666"/>
      <c r="M47" s="1666"/>
      <c r="N47" s="1666"/>
      <c r="O47" s="1666"/>
      <c r="P47" s="1666"/>
      <c r="Q47" s="1666"/>
      <c r="R47" s="1666"/>
      <c r="S47" s="1667"/>
      <c r="T47" s="1667"/>
      <c r="U47" s="1667"/>
      <c r="V47" s="1667"/>
      <c r="W47" s="1668"/>
      <c r="X47" s="1625"/>
      <c r="Y47" s="1625"/>
      <c r="Z47" s="1625"/>
      <c r="AA47" s="1625"/>
      <c r="AB47" s="1625"/>
      <c r="AC47" s="1625"/>
      <c r="AD47" s="1625"/>
      <c r="AE47" s="1625"/>
      <c r="AF47" s="1625"/>
      <c r="AG47" s="1625"/>
      <c r="AH47" s="1625"/>
      <c r="AI47" s="1625"/>
      <c r="AJ47" s="1625"/>
      <c r="AK47" s="1625"/>
      <c r="AL47" s="1625"/>
      <c r="AM47" s="1625"/>
      <c r="AN47" s="1625"/>
      <c r="AO47" s="1625"/>
      <c r="AP47" s="1625"/>
      <c r="AQ47" s="1625"/>
    </row>
    <row s="31720" customFormat="1" customHeight="1" ht="17.25" hidden="1">
      <c r="A48" s="682"/>
      <c r="C48" s="570"/>
      <c r="D48" s="2416">
        <v>8</v>
      </c>
      <c r="E48" s="2418" t="s">
        <v>202</v>
      </c>
      <c r="F48" s="2420" t="s">
        <v>56</v>
      </c>
      <c r="G48" s="2418"/>
      <c r="H48" s="2423"/>
      <c r="I48" s="2425"/>
      <c r="J48" s="2427"/>
      <c r="K48" s="2410"/>
      <c r="L48" s="2410"/>
      <c r="M48" s="2410"/>
      <c r="N48" s="2412"/>
      <c r="O48" s="2410"/>
      <c r="P48" s="2410"/>
      <c r="Q48" s="2410"/>
      <c r="R48" s="2415"/>
      <c r="S48" s="2410"/>
      <c r="T48" s="1836"/>
      <c r="U48" s="1836"/>
      <c r="V48" s="1838"/>
      <c r="W48" s="1662"/>
      <c r="X48" s="1633"/>
      <c r="Y48" s="1633"/>
      <c r="Z48" s="1633"/>
      <c r="AA48" s="1633"/>
      <c r="AB48" s="1633"/>
      <c r="AC48" s="1633" t="s">
        <v>203</v>
      </c>
      <c r="AD48" s="1633" t="s">
        <v>204</v>
      </c>
      <c r="AE48" s="1633" t="s">
        <v>205</v>
      </c>
      <c r="AF48" s="1633" t="s">
        <v>206</v>
      </c>
      <c r="AG48" s="1633" t="s">
        <v>207</v>
      </c>
      <c r="AH48" s="1633" t="str">
        <f>IF($E$48=0,"",$E$48)</f>
        <v>Плата за подключение (технологическое присоединение) к системе теплоснабжения</v>
      </c>
      <c r="AI48" s="1633" t="str">
        <f>IF($G$48=0,"",$G$48)</f>
        <v/>
      </c>
      <c r="AJ48" s="1633" t="str">
        <f>IF($J$48=0,"",$J$48)</f>
        <v/>
      </c>
      <c r="AK48" s="1633" t="str">
        <f>IF($K$48="нет","без дифференциации",IF($N$48=0,"",$N$48))</f>
        <v/>
      </c>
      <c r="AL48" s="1633" t="str">
        <f>IF($O$48="нет","без дифференциации",IF($R$48=0,"",$R$48))</f>
        <v/>
      </c>
      <c r="AM48" s="1633" t="str">
        <f>IF($S$48="нет","без дифференциации",IF($V$48=0,"",$V$48))</f>
        <v/>
      </c>
      <c r="AN48" s="2138">
        <f>$I$48</f>
        <v>0</v>
      </c>
      <c r="AO48" s="1633" t="str">
        <f>$I$48&amp;"."&amp;$M$48</f>
        <v>.</v>
      </c>
      <c r="AP48" s="1625" t="str">
        <f>$I$48&amp;"."&amp;$M$48&amp;"."&amp;$Q$48</f>
        <v>..</v>
      </c>
      <c r="AQ48" s="1625" t="str">
        <f>$I$48&amp;"."&amp;$M$48&amp;"."&amp;$Q$48&amp;"."&amp;$U$48</f>
        <v>...</v>
      </c>
    </row>
    <row s="31720" customFormat="1" customHeight="1" ht="17.25" hidden="1">
      <c r="A49" s="682"/>
      <c r="C49" s="681"/>
      <c r="D49" s="2416"/>
      <c r="E49" s="2418"/>
      <c r="F49" s="2421"/>
      <c r="G49" s="2418"/>
      <c r="H49" s="2424"/>
      <c r="I49" s="2426"/>
      <c r="J49" s="2428"/>
      <c r="K49" s="2411"/>
      <c r="L49" s="2411"/>
      <c r="M49" s="2411"/>
      <c r="N49" s="2413"/>
      <c r="O49" s="2411"/>
      <c r="P49" s="2411"/>
      <c r="Q49" s="2411"/>
      <c r="R49" s="2414"/>
      <c r="S49" s="2411"/>
      <c r="T49" s="1663"/>
      <c r="U49" s="1663"/>
      <c r="V49" s="1663"/>
      <c r="W49" s="1664"/>
      <c r="X49" s="1625"/>
      <c r="Y49" s="1625"/>
      <c r="Z49" s="1625"/>
      <c r="AA49" s="1625"/>
      <c r="AB49" s="1625"/>
      <c r="AC49" s="1625"/>
      <c r="AD49" s="1625"/>
      <c r="AE49" s="1625"/>
      <c r="AF49" s="1625"/>
      <c r="AG49" s="1625"/>
      <c r="AH49" s="1625"/>
      <c r="AI49" s="1625"/>
      <c r="AJ49" s="1625"/>
      <c r="AK49" s="1625"/>
      <c r="AL49" s="1625"/>
      <c r="AM49" s="1625"/>
      <c r="AN49" s="1625"/>
      <c r="AO49" s="1625"/>
      <c r="AP49" s="1625"/>
      <c r="AQ49" s="1625"/>
    </row>
    <row s="31720" customFormat="1" customHeight="1" ht="17.25" hidden="1">
      <c r="A50" s="682"/>
      <c r="C50" s="681"/>
      <c r="D50" s="2417"/>
      <c r="E50" s="2419"/>
      <c r="F50" s="2421"/>
      <c r="G50" s="2419"/>
      <c r="H50" s="2424"/>
      <c r="I50" s="2426"/>
      <c r="J50" s="2429"/>
      <c r="K50" s="2411"/>
      <c r="L50" s="2411"/>
      <c r="M50" s="2411"/>
      <c r="N50" s="2414"/>
      <c r="O50" s="2411"/>
      <c r="P50" s="1837"/>
      <c r="Q50" s="1663"/>
      <c r="R50" s="1663"/>
      <c r="S50" s="690"/>
      <c r="T50" s="690"/>
      <c r="U50" s="690"/>
      <c r="V50" s="690"/>
      <c r="W50" s="1664"/>
      <c r="X50" s="1625"/>
      <c r="Y50" s="1625"/>
      <c r="Z50" s="1625"/>
      <c r="AA50" s="1625"/>
      <c r="AB50" s="1625"/>
      <c r="AC50" s="1625"/>
      <c r="AD50" s="1625"/>
      <c r="AE50" s="1625"/>
      <c r="AF50" s="1625"/>
      <c r="AG50" s="1625"/>
      <c r="AH50" s="1625"/>
      <c r="AI50" s="1625"/>
      <c r="AJ50" s="1625"/>
      <c r="AK50" s="1625"/>
      <c r="AL50" s="1625"/>
      <c r="AM50" s="1625"/>
      <c r="AN50" s="1625"/>
      <c r="AO50" s="1625"/>
      <c r="AP50" s="1625"/>
      <c r="AQ50" s="1625"/>
    </row>
    <row s="31719" customFormat="1" customHeight="1" ht="17.25" hidden="1">
      <c r="A51" s="682"/>
      <c r="C51" s="570"/>
      <c r="D51" s="2417"/>
      <c r="E51" s="2419"/>
      <c r="F51" s="2421"/>
      <c r="G51" s="2419"/>
      <c r="H51" s="2424"/>
      <c r="I51" s="2426"/>
      <c r="J51" s="2429"/>
      <c r="K51" s="2411"/>
      <c r="L51" s="1663"/>
      <c r="M51" s="1663"/>
      <c r="N51" s="1663"/>
      <c r="O51" s="1663"/>
      <c r="P51" s="1663"/>
      <c r="Q51" s="1663"/>
      <c r="R51" s="1663"/>
      <c r="S51" s="690"/>
      <c r="T51" s="690"/>
      <c r="U51" s="690"/>
      <c r="V51" s="690"/>
      <c r="W51" s="1664"/>
      <c r="Y51" s="1633"/>
      <c r="Z51" s="1633"/>
      <c r="AA51" s="1633"/>
      <c r="AB51" s="1633"/>
      <c r="AC51" s="1633"/>
      <c r="AD51" s="1633"/>
      <c r="AE51" s="1633"/>
      <c r="AF51" s="1633"/>
      <c r="AG51" s="1633"/>
      <c r="AH51" s="1633"/>
      <c r="AI51" s="1633"/>
      <c r="AJ51" s="1633"/>
      <c r="AK51" s="1633"/>
      <c r="AL51" s="1633"/>
      <c r="AM51" s="1633"/>
      <c r="AN51" s="1633"/>
      <c r="AO51" s="1633"/>
      <c r="AP51" s="1633"/>
      <c r="AQ51" s="1633"/>
    </row>
    <row s="31720" customFormat="1" customHeight="1" ht="17.25" hidden="1">
      <c r="A52" s="682"/>
      <c r="C52" s="681"/>
      <c r="D52" s="2417"/>
      <c r="E52" s="2419"/>
      <c r="F52" s="2422"/>
      <c r="G52" s="2419"/>
      <c r="H52" s="1665"/>
      <c r="I52" s="1666"/>
      <c r="J52" s="1666"/>
      <c r="K52" s="1666"/>
      <c r="L52" s="1666"/>
      <c r="M52" s="1666"/>
      <c r="N52" s="1666"/>
      <c r="O52" s="1666"/>
      <c r="P52" s="1666"/>
      <c r="Q52" s="1666"/>
      <c r="R52" s="1666"/>
      <c r="S52" s="1667"/>
      <c r="T52" s="1667"/>
      <c r="U52" s="1667"/>
      <c r="V52" s="1667"/>
      <c r="W52" s="1668"/>
      <c r="X52" s="1625"/>
      <c r="Y52" s="1625"/>
      <c r="Z52" s="1625"/>
      <c r="AA52" s="1625"/>
      <c r="AB52" s="1625"/>
      <c r="AC52" s="1625"/>
      <c r="AD52" s="1625"/>
      <c r="AE52" s="1625"/>
      <c r="AF52" s="1625"/>
      <c r="AG52" s="1625"/>
      <c r="AH52" s="1625"/>
      <c r="AI52" s="1625"/>
      <c r="AJ52" s="1625"/>
      <c r="AK52" s="1625"/>
      <c r="AL52" s="1625"/>
      <c r="AM52" s="1625"/>
      <c r="AN52" s="1625"/>
      <c r="AO52" s="1625"/>
      <c r="AP52" s="1625"/>
      <c r="AQ52" s="1625"/>
    </row>
    <row s="31730" customFormat="1" customHeight="1" ht="17.25" hidden="1">
      <c r="A53" s="682"/>
      <c r="C53" s="570"/>
      <c r="D53" s="2416">
        <v>9</v>
      </c>
      <c r="E53" s="2418" t="s">
        <v>208</v>
      </c>
      <c r="F53" s="2420" t="s">
        <v>56</v>
      </c>
      <c r="G53" s="2418"/>
      <c r="H53" s="2423"/>
      <c r="I53" s="2425"/>
      <c r="J53" s="2427"/>
      <c r="K53" s="2410"/>
      <c r="L53" s="2410"/>
      <c r="M53" s="2410"/>
      <c r="N53" s="2412"/>
      <c r="O53" s="2410"/>
      <c r="P53" s="2410"/>
      <c r="Q53" s="2410"/>
      <c r="R53" s="2415"/>
      <c r="S53" s="2410"/>
      <c r="T53" s="2298"/>
      <c r="U53" s="2298"/>
      <c r="V53" s="2300"/>
      <c r="W53" s="1662"/>
      <c r="X53" s="1633"/>
      <c r="Y53" s="1633"/>
      <c r="Z53" s="1633"/>
      <c r="AA53" s="1633"/>
      <c r="AB53" s="1633"/>
      <c r="AC53" s="1633" t="s">
        <v>209</v>
      </c>
      <c r="AD53" s="1633" t="s">
        <v>210</v>
      </c>
      <c r="AE53" s="1633" t="s">
        <v>211</v>
      </c>
      <c r="AF53" s="1633" t="s">
        <v>212</v>
      </c>
      <c r="AG53" s="1633" t="s">
        <v>213</v>
      </c>
      <c r="AH53" s="1633" t="str">
        <f>IF($E$53=0,"",$E$53)</f>
        <v>Плата за подключение к системе теплоснабжения (индивидуальная)</v>
      </c>
      <c r="AI53" s="1633" t="str">
        <f>IF($G$53=0,"",$G$53)</f>
        <v/>
      </c>
      <c r="AJ53" s="1633" t="str">
        <f>IF($J$53=0,"",$J$53)</f>
        <v/>
      </c>
      <c r="AK53" s="1633" t="str">
        <f>IF($K$53="нет","без дифференциации",IF($N$53=0,"",$N$53))</f>
        <v/>
      </c>
      <c r="AL53" s="1633" t="str">
        <f>IF($O$53="нет","без дифференциации",IF($R$53=0,"",$R$53))</f>
        <v/>
      </c>
      <c r="AM53" s="1633" t="str">
        <f>IF($S$53="нет","без дифференциации",IF($V$53=0,"",$V$53))</f>
        <v/>
      </c>
      <c r="AN53" s="2138">
        <f>$I$53</f>
        <v>0</v>
      </c>
      <c r="AO53" s="1633" t="str">
        <f>$I$53&amp;"."&amp;$M$53</f>
        <v>.</v>
      </c>
      <c r="AP53" s="1632" t="str">
        <f>$I$53&amp;"."&amp;$M$53&amp;"."&amp;$Q$53</f>
        <v>..</v>
      </c>
      <c r="AQ53" s="1632" t="str">
        <f>$I$53&amp;"."&amp;$M$53&amp;"."&amp;$Q$53&amp;"."&amp;$U$53</f>
        <v>...</v>
      </c>
    </row>
    <row s="31730" customFormat="1" customHeight="1" ht="17.25" hidden="1">
      <c r="A54" s="682"/>
      <c r="C54" s="681"/>
      <c r="D54" s="2416"/>
      <c r="E54" s="2418"/>
      <c r="F54" s="2421"/>
      <c r="G54" s="2418"/>
      <c r="H54" s="2424"/>
      <c r="I54" s="2426"/>
      <c r="J54" s="2428"/>
      <c r="K54" s="2411"/>
      <c r="L54" s="2411"/>
      <c r="M54" s="2411"/>
      <c r="N54" s="2413"/>
      <c r="O54" s="2411"/>
      <c r="P54" s="2411"/>
      <c r="Q54" s="2411"/>
      <c r="R54" s="2414"/>
      <c r="S54" s="2411"/>
      <c r="T54" s="2301"/>
      <c r="U54" s="2301"/>
      <c r="V54" s="2301"/>
      <c r="W54" s="2302"/>
      <c r="X54" s="1632"/>
      <c r="Y54" s="1632"/>
      <c r="Z54" s="1632"/>
      <c r="AA54" s="1632"/>
      <c r="AB54" s="1632"/>
      <c r="AC54" s="1632"/>
      <c r="AD54" s="1632"/>
      <c r="AE54" s="1632"/>
      <c r="AF54" s="1632"/>
      <c r="AG54" s="1632"/>
      <c r="AH54" s="1632"/>
      <c r="AI54" s="1632"/>
      <c r="AJ54" s="1632"/>
      <c r="AK54" s="1632"/>
      <c r="AL54" s="1632"/>
      <c r="AM54" s="1632"/>
      <c r="AN54" s="1632"/>
      <c r="AO54" s="1632"/>
      <c r="AP54" s="1632"/>
      <c r="AQ54" s="1632"/>
    </row>
    <row s="31730" customFormat="1" customHeight="1" ht="17.25" hidden="1">
      <c r="A55" s="682"/>
      <c r="C55" s="681"/>
      <c r="D55" s="2417"/>
      <c r="E55" s="2419"/>
      <c r="F55" s="2421"/>
      <c r="G55" s="2419"/>
      <c r="H55" s="2424"/>
      <c r="I55" s="2426"/>
      <c r="J55" s="2429"/>
      <c r="K55" s="2411"/>
      <c r="L55" s="2411"/>
      <c r="M55" s="2411"/>
      <c r="N55" s="2414"/>
      <c r="O55" s="2411"/>
      <c r="P55" s="2299"/>
      <c r="Q55" s="2301"/>
      <c r="R55" s="2301"/>
      <c r="S55" s="690"/>
      <c r="T55" s="690"/>
      <c r="U55" s="690"/>
      <c r="V55" s="690"/>
      <c r="W55" s="2302"/>
      <c r="X55" s="1632"/>
      <c r="Y55" s="1632"/>
      <c r="Z55" s="1632"/>
      <c r="AA55" s="1632"/>
      <c r="AB55" s="1632"/>
      <c r="AC55" s="1632"/>
      <c r="AD55" s="1632"/>
      <c r="AE55" s="1632"/>
      <c r="AF55" s="1632"/>
      <c r="AG55" s="1632"/>
      <c r="AH55" s="1632"/>
      <c r="AI55" s="1632"/>
      <c r="AJ55" s="1632"/>
      <c r="AK55" s="1632"/>
      <c r="AL55" s="1632"/>
      <c r="AM55" s="1632"/>
      <c r="AN55" s="1632"/>
      <c r="AO55" s="1632"/>
      <c r="AP55" s="1632"/>
      <c r="AQ55" s="1632"/>
    </row>
    <row s="31730" customFormat="1" customHeight="1" ht="17.25" hidden="1">
      <c r="A56" s="682"/>
      <c r="C56" s="570"/>
      <c r="D56" s="2417"/>
      <c r="E56" s="2419"/>
      <c r="F56" s="2421"/>
      <c r="G56" s="2419"/>
      <c r="H56" s="2424"/>
      <c r="I56" s="2426"/>
      <c r="J56" s="2429"/>
      <c r="K56" s="2411"/>
      <c r="L56" s="2301"/>
      <c r="M56" s="2301"/>
      <c r="N56" s="2301"/>
      <c r="O56" s="2301"/>
      <c r="P56" s="2301"/>
      <c r="Q56" s="2301"/>
      <c r="R56" s="2301"/>
      <c r="S56" s="690"/>
      <c r="T56" s="690"/>
      <c r="U56" s="690"/>
      <c r="V56" s="690"/>
      <c r="W56" s="2302"/>
      <c r="Y56" s="1633"/>
      <c r="Z56" s="1633"/>
      <c r="AA56" s="1633"/>
      <c r="AB56" s="1633"/>
      <c r="AC56" s="1633"/>
      <c r="AD56" s="1633"/>
      <c r="AE56" s="1633"/>
      <c r="AF56" s="1633"/>
      <c r="AG56" s="1633"/>
      <c r="AH56" s="1633"/>
      <c r="AI56" s="1633"/>
      <c r="AJ56" s="1633"/>
      <c r="AK56" s="1633"/>
      <c r="AL56" s="1633"/>
      <c r="AM56" s="1633"/>
      <c r="AN56" s="1633"/>
      <c r="AO56" s="1633"/>
      <c r="AP56" s="1633"/>
      <c r="AQ56" s="1633"/>
    </row>
    <row s="31730" customFormat="1" customHeight="1" ht="17.25" hidden="1">
      <c r="A57" s="682"/>
      <c r="C57" s="681"/>
      <c r="D57" s="2417"/>
      <c r="E57" s="2419"/>
      <c r="F57" s="2422"/>
      <c r="G57" s="2419"/>
      <c r="H57" s="1665"/>
      <c r="I57" s="2303"/>
      <c r="J57" s="2303"/>
      <c r="K57" s="2303"/>
      <c r="L57" s="2303"/>
      <c r="M57" s="2303"/>
      <c r="N57" s="2303"/>
      <c r="O57" s="2303"/>
      <c r="P57" s="2303"/>
      <c r="Q57" s="2303"/>
      <c r="R57" s="2303"/>
      <c r="S57" s="1667"/>
      <c r="T57" s="1667"/>
      <c r="U57" s="1667"/>
      <c r="V57" s="1667"/>
      <c r="W57" s="2304"/>
      <c r="X57" s="1632"/>
      <c r="Y57" s="1632"/>
      <c r="Z57" s="1632"/>
      <c r="AA57" s="1632"/>
      <c r="AB57" s="1632"/>
      <c r="AC57" s="1632"/>
      <c r="AD57" s="1632"/>
      <c r="AE57" s="1632"/>
      <c r="AF57" s="1632"/>
      <c r="AG57" s="1632"/>
      <c r="AH57" s="1632"/>
      <c r="AI57" s="1632"/>
      <c r="AJ57" s="1632"/>
      <c r="AK57" s="1632"/>
      <c r="AL57" s="1632"/>
      <c r="AM57" s="1632"/>
      <c r="AN57" s="1632"/>
      <c r="AO57" s="1632"/>
      <c r="AP57" s="1632"/>
      <c r="AQ57" s="1632"/>
    </row>
    <row s="31730" customFormat="1" customHeight="1" ht="17.25" hidden="1">
      <c r="A58" s="682"/>
      <c r="C58" s="570"/>
      <c r="D58" s="2416">
        <v>10</v>
      </c>
      <c r="E58" s="2418" t="s">
        <v>214</v>
      </c>
      <c r="F58" s="2420" t="s">
        <v>56</v>
      </c>
      <c r="G58" s="2418"/>
      <c r="H58" s="2423"/>
      <c r="I58" s="2425"/>
      <c r="J58" s="2427"/>
      <c r="K58" s="2410"/>
      <c r="L58" s="2410"/>
      <c r="M58" s="2410"/>
      <c r="N58" s="2412"/>
      <c r="O58" s="2410"/>
      <c r="P58" s="2410"/>
      <c r="Q58" s="2410"/>
      <c r="R58" s="2415"/>
      <c r="S58" s="2410"/>
      <c r="T58" s="2298"/>
      <c r="U58" s="2298"/>
      <c r="V58" s="2300"/>
      <c r="W58" s="1662"/>
      <c r="X58" s="1633"/>
      <c r="Y58" s="1633"/>
      <c r="Z58" s="1633"/>
      <c r="AA58" s="1633"/>
      <c r="AB58" s="1633"/>
      <c r="AC58" s="1633" t="s">
        <v>215</v>
      </c>
      <c r="AD58" s="1633" t="s">
        <v>216</v>
      </c>
      <c r="AE58" s="1633" t="s">
        <v>217</v>
      </c>
      <c r="AF58" s="1633" t="s">
        <v>218</v>
      </c>
      <c r="AG58" s="1633" t="s">
        <v>219</v>
      </c>
      <c r="AH58" s="1633" t="str">
        <f>IF($E$58=0,"",$E$58)</f>
        <v>Предельный уровень цены на тепловую энергию (мощность), поставляемую теплоснабжающими организациями потребителям</v>
      </c>
      <c r="AI58" s="1633" t="str">
        <f>IF($G$58=0,"",$G$58)</f>
        <v/>
      </c>
      <c r="AJ58" s="1633" t="str">
        <f>IF($J$58=0,"",$J$58)</f>
        <v/>
      </c>
      <c r="AK58" s="1633" t="str">
        <f>IF($K$58="нет","без дифференциации",IF($N$58=0,"",$N$58))</f>
        <v/>
      </c>
      <c r="AL58" s="1633" t="str">
        <f>IF($O$58="нет","без дифференциации",IF($R$58=0,"",$R$58))</f>
        <v/>
      </c>
      <c r="AM58" s="1633" t="str">
        <f>IF($S$58="нет","без дифференциации",IF($V$58=0,"",$V$58))</f>
        <v/>
      </c>
      <c r="AN58" s="2138">
        <f>$I$58</f>
        <v>0</v>
      </c>
      <c r="AO58" s="1633" t="str">
        <f>$I$58&amp;"."&amp;$M$58</f>
        <v>.</v>
      </c>
      <c r="AP58" s="1632" t="str">
        <f>$I$58&amp;"."&amp;$M$58&amp;"."&amp;$Q$58</f>
        <v>..</v>
      </c>
      <c r="AQ58" s="1632" t="str">
        <f>$I$58&amp;"."&amp;$M$58&amp;"."&amp;$Q$58&amp;"."&amp;$U$58</f>
        <v>...</v>
      </c>
    </row>
    <row s="31730" customFormat="1" customHeight="1" ht="17.25" hidden="1">
      <c r="A59" s="682"/>
      <c r="C59" s="681"/>
      <c r="D59" s="2416"/>
      <c r="E59" s="2418"/>
      <c r="F59" s="2421"/>
      <c r="G59" s="2418"/>
      <c r="H59" s="2424"/>
      <c r="I59" s="2426"/>
      <c r="J59" s="2428"/>
      <c r="K59" s="2411"/>
      <c r="L59" s="2411"/>
      <c r="M59" s="2411"/>
      <c r="N59" s="2413"/>
      <c r="O59" s="2411"/>
      <c r="P59" s="2411"/>
      <c r="Q59" s="2411"/>
      <c r="R59" s="2414"/>
      <c r="S59" s="2411"/>
      <c r="T59" s="2301"/>
      <c r="U59" s="2301"/>
      <c r="V59" s="2301"/>
      <c r="W59" s="2302"/>
      <c r="X59" s="1632"/>
      <c r="Y59" s="1632"/>
      <c r="Z59" s="1632"/>
      <c r="AA59" s="1632"/>
      <c r="AB59" s="1632"/>
      <c r="AC59" s="1632"/>
      <c r="AD59" s="1632"/>
      <c r="AE59" s="1632"/>
      <c r="AF59" s="1632"/>
      <c r="AG59" s="1632"/>
      <c r="AH59" s="1632"/>
      <c r="AI59" s="1632"/>
      <c r="AJ59" s="1632"/>
      <c r="AK59" s="1632"/>
      <c r="AL59" s="1632"/>
      <c r="AM59" s="1632"/>
      <c r="AN59" s="1632"/>
      <c r="AO59" s="1632"/>
      <c r="AP59" s="1632"/>
      <c r="AQ59" s="1632"/>
    </row>
    <row s="31730" customFormat="1" customHeight="1" ht="17.25" hidden="1">
      <c r="A60" s="682"/>
      <c r="C60" s="681"/>
      <c r="D60" s="2417"/>
      <c r="E60" s="2419"/>
      <c r="F60" s="2421"/>
      <c r="G60" s="2419"/>
      <c r="H60" s="2424"/>
      <c r="I60" s="2426"/>
      <c r="J60" s="2429"/>
      <c r="K60" s="2411"/>
      <c r="L60" s="2411"/>
      <c r="M60" s="2411"/>
      <c r="N60" s="2414"/>
      <c r="O60" s="2411"/>
      <c r="P60" s="2299"/>
      <c r="Q60" s="2301"/>
      <c r="R60" s="2301"/>
      <c r="S60" s="690"/>
      <c r="T60" s="690"/>
      <c r="U60" s="690"/>
      <c r="V60" s="690"/>
      <c r="W60" s="2302"/>
      <c r="X60" s="1632"/>
      <c r="Y60" s="1632"/>
      <c r="Z60" s="1632"/>
      <c r="AA60" s="1632"/>
      <c r="AB60" s="1632"/>
      <c r="AC60" s="1632"/>
      <c r="AD60" s="1632"/>
      <c r="AE60" s="1632"/>
      <c r="AF60" s="1632"/>
      <c r="AG60" s="1632"/>
      <c r="AH60" s="1632"/>
      <c r="AI60" s="1632"/>
      <c r="AJ60" s="1632"/>
      <c r="AK60" s="1632"/>
      <c r="AL60" s="1632"/>
      <c r="AM60" s="1632"/>
      <c r="AN60" s="1632"/>
      <c r="AO60" s="1632"/>
      <c r="AP60" s="1632"/>
      <c r="AQ60" s="1632"/>
    </row>
    <row s="31730" customFormat="1" customHeight="1" ht="17.25" hidden="1">
      <c r="A61" s="682"/>
      <c r="C61" s="570"/>
      <c r="D61" s="2417"/>
      <c r="E61" s="2419"/>
      <c r="F61" s="2421"/>
      <c r="G61" s="2419"/>
      <c r="H61" s="2424"/>
      <c r="I61" s="2426"/>
      <c r="J61" s="2429"/>
      <c r="K61" s="2411"/>
      <c r="L61" s="2301"/>
      <c r="M61" s="2301"/>
      <c r="N61" s="2301"/>
      <c r="O61" s="2301"/>
      <c r="P61" s="2301"/>
      <c r="Q61" s="2301"/>
      <c r="R61" s="2301"/>
      <c r="S61" s="690"/>
      <c r="T61" s="690"/>
      <c r="U61" s="690"/>
      <c r="V61" s="690"/>
      <c r="W61" s="2302"/>
      <c r="Y61" s="1633"/>
      <c r="Z61" s="1633"/>
      <c r="AA61" s="1633"/>
      <c r="AB61" s="1633"/>
      <c r="AC61" s="1633"/>
      <c r="AD61" s="1633"/>
      <c r="AE61" s="1633"/>
      <c r="AF61" s="1633"/>
      <c r="AG61" s="1633"/>
      <c r="AH61" s="1633"/>
      <c r="AI61" s="1633"/>
      <c r="AJ61" s="1633"/>
      <c r="AK61" s="1633"/>
      <c r="AL61" s="1633"/>
      <c r="AM61" s="1633"/>
      <c r="AN61" s="1633"/>
      <c r="AO61" s="1633"/>
      <c r="AP61" s="1633"/>
      <c r="AQ61" s="1633"/>
    </row>
    <row s="31730" customFormat="1" customHeight="1" ht="17.25" hidden="1">
      <c r="A62" s="682"/>
      <c r="C62" s="681"/>
      <c r="D62" s="2417"/>
      <c r="E62" s="2419"/>
      <c r="F62" s="2422"/>
      <c r="G62" s="2419"/>
      <c r="H62" s="1665"/>
      <c r="I62" s="2303"/>
      <c r="J62" s="2303"/>
      <c r="K62" s="2303"/>
      <c r="L62" s="2303"/>
      <c r="M62" s="2303"/>
      <c r="N62" s="2303"/>
      <c r="O62" s="2303"/>
      <c r="P62" s="2303"/>
      <c r="Q62" s="2303"/>
      <c r="R62" s="2303"/>
      <c r="S62" s="1667"/>
      <c r="T62" s="1667"/>
      <c r="U62" s="1667"/>
      <c r="V62" s="1667"/>
      <c r="W62" s="2304"/>
      <c r="X62" s="1632"/>
      <c r="Y62" s="1632"/>
      <c r="Z62" s="1632"/>
      <c r="AA62" s="1632"/>
      <c r="AB62" s="1632"/>
      <c r="AC62" s="1632"/>
      <c r="AD62" s="1632"/>
      <c r="AE62" s="1632"/>
      <c r="AF62" s="1632"/>
      <c r="AG62" s="1632"/>
      <c r="AH62" s="1632"/>
      <c r="AI62" s="1632"/>
      <c r="AJ62" s="1632"/>
      <c r="AK62" s="1632"/>
      <c r="AL62" s="1632"/>
      <c r="AM62" s="1632"/>
      <c r="AN62" s="1632"/>
      <c r="AO62" s="1632"/>
      <c r="AP62" s="1632"/>
      <c r="AQ62" s="1632"/>
    </row>
    <row customHeight="1" ht="11.25" hidden="1"/>
    <row customHeight="1" ht="11.25" hidden="1">
      <c r="E64" s="2432" t="s">
        <v>220</v>
      </c>
      <c r="F64" s="2432"/>
      <c r="G64" s="2432"/>
      <c r="H64" s="2432"/>
      <c r="I64" s="2432"/>
      <c r="J64" s="2432"/>
      <c r="K64" s="2432"/>
      <c r="L64" s="2432"/>
      <c r="M64" s="2432"/>
      <c r="N64" s="2432"/>
      <c r="O64" s="2432"/>
      <c r="P64" s="2432"/>
      <c r="Q64" s="2432"/>
      <c r="R64" s="2432"/>
      <c r="S64" s="2432"/>
      <c r="T64" s="2432"/>
      <c r="U64" s="2432"/>
      <c r="V64" s="2432"/>
      <c r="W64" s="2432"/>
    </row>
    <row customHeight="1" ht="36.75" hidden="1">
      <c r="E65" s="2430" t="s">
        <v>221</v>
      </c>
      <c r="F65" s="2430"/>
      <c r="G65" s="2431"/>
      <c r="H65" s="2431"/>
      <c r="I65" s="2431"/>
      <c r="J65" s="2431"/>
      <c r="K65" s="2431"/>
      <c r="L65" s="2431"/>
      <c r="M65" s="2431"/>
      <c r="N65" s="2431"/>
      <c r="O65" s="2431"/>
      <c r="P65" s="2431"/>
      <c r="Q65" s="2431"/>
      <c r="R65" s="2431"/>
      <c r="S65" s="2431"/>
      <c r="T65" s="2431"/>
      <c r="U65" s="2431"/>
      <c r="V65" s="2431"/>
      <c r="W65" s="2431"/>
    </row>
    <row customHeight="1" ht="28.5" hidden="1">
      <c r="E66" s="2430" t="s">
        <v>222</v>
      </c>
      <c r="F66" s="2430"/>
      <c r="G66" s="2431"/>
      <c r="H66" s="2431"/>
      <c r="I66" s="2431"/>
      <c r="J66" s="2431"/>
      <c r="K66" s="2431"/>
      <c r="L66" s="2431"/>
      <c r="M66" s="2431"/>
      <c r="N66" s="2431"/>
      <c r="O66" s="2431"/>
      <c r="P66" s="2431"/>
      <c r="Q66" s="2431"/>
      <c r="R66" s="2431"/>
      <c r="S66" s="2431"/>
      <c r="T66" s="2431"/>
      <c r="U66" s="2431"/>
      <c r="V66" s="2431"/>
      <c r="W66" s="2431"/>
    </row>
    <row customHeight="1" ht="27" hidden="1">
      <c r="E67" s="2430" t="s">
        <v>223</v>
      </c>
      <c r="F67" s="2430"/>
      <c r="G67" s="2431"/>
      <c r="H67" s="2431"/>
      <c r="I67" s="2431"/>
      <c r="J67" s="2431"/>
      <c r="K67" s="2431"/>
      <c r="L67" s="2431"/>
      <c r="M67" s="2431"/>
      <c r="N67" s="2431"/>
      <c r="O67" s="2431"/>
      <c r="P67" s="2431"/>
      <c r="Q67" s="2431"/>
      <c r="R67" s="2431"/>
      <c r="S67" s="2431"/>
      <c r="T67" s="2431"/>
      <c r="U67" s="2431"/>
      <c r="V67" s="2431"/>
      <c r="W67" s="2431"/>
    </row>
    <row customHeight="1" ht="17.25" hidden="1">
      <c r="E68" s="2430" t="s">
        <v>224</v>
      </c>
      <c r="F68" s="2430"/>
      <c r="G68" s="2431"/>
      <c r="H68" s="2431"/>
      <c r="I68" s="2431"/>
      <c r="J68" s="2431"/>
      <c r="K68" s="2431"/>
      <c r="L68" s="2431"/>
      <c r="M68" s="2431"/>
      <c r="N68" s="2431"/>
      <c r="O68" s="2431"/>
      <c r="P68" s="2431"/>
      <c r="Q68" s="2431"/>
      <c r="R68" s="2431"/>
      <c r="S68" s="2431"/>
      <c r="T68" s="2431"/>
      <c r="U68" s="2431"/>
      <c r="V68" s="2431"/>
      <c r="W68" s="2431"/>
    </row>
    <row customHeight="1" ht="15" hidden="1">
      <c r="E69" s="701"/>
      <c r="F69" s="1651"/>
      <c r="G69" s="519"/>
      <c r="H69" s="519"/>
      <c r="I69" s="519"/>
      <c r="J69" s="519"/>
      <c r="K69" s="519"/>
      <c r="L69" s="519"/>
      <c r="M69" s="519"/>
      <c r="N69" s="519"/>
      <c r="O69" s="519"/>
      <c r="P69" s="519"/>
      <c r="Q69" s="519"/>
      <c r="R69" s="519"/>
      <c r="S69" s="519"/>
      <c r="T69" s="519"/>
      <c r="U69" s="519"/>
      <c r="V69" s="519"/>
      <c r="W69" s="519"/>
    </row>
    <row customHeight="1" ht="15" hidden="1">
      <c r="E70" s="2432" t="s">
        <v>225</v>
      </c>
      <c r="F70" s="2432"/>
      <c r="G70" s="2432"/>
      <c r="H70" s="2432"/>
      <c r="I70" s="2432"/>
      <c r="J70" s="2432"/>
      <c r="K70" s="2432"/>
      <c r="L70" s="2432"/>
      <c r="M70" s="2432"/>
      <c r="N70" s="2432"/>
      <c r="O70" s="2432"/>
      <c r="P70" s="2432"/>
      <c r="Q70" s="2432"/>
      <c r="R70" s="2432"/>
      <c r="S70" s="2432"/>
      <c r="T70" s="2432"/>
      <c r="U70" s="2432"/>
      <c r="V70" s="2432"/>
      <c r="W70" s="2432"/>
    </row>
    <row customHeight="1" ht="17.25" hidden="1">
      <c r="E71" s="2430" t="s">
        <v>226</v>
      </c>
      <c r="F71" s="2430"/>
      <c r="G71" s="2431"/>
      <c r="H71" s="2431"/>
      <c r="I71" s="2431"/>
      <c r="J71" s="2431"/>
      <c r="K71" s="2431"/>
      <c r="L71" s="2431"/>
      <c r="M71" s="2431"/>
      <c r="N71" s="2431"/>
      <c r="O71" s="2431"/>
      <c r="P71" s="2431"/>
      <c r="Q71" s="2431"/>
      <c r="R71" s="2431"/>
      <c r="S71" s="2431"/>
      <c r="T71" s="2431"/>
      <c r="U71" s="2431"/>
      <c r="V71" s="2431"/>
      <c r="W71" s="2431"/>
    </row>
    <row customHeight="1" ht="17.25" hidden="1">
      <c r="E72" s="2430" t="s">
        <v>227</v>
      </c>
      <c r="F72" s="2430"/>
      <c r="G72" s="2431"/>
      <c r="H72" s="2431"/>
      <c r="I72" s="2431"/>
      <c r="J72" s="2431"/>
      <c r="K72" s="2431"/>
      <c r="L72" s="2431"/>
      <c r="M72" s="2431"/>
      <c r="N72" s="2431"/>
      <c r="O72" s="2431"/>
      <c r="P72" s="2431"/>
      <c r="Q72" s="2431"/>
      <c r="R72" s="2431"/>
      <c r="S72" s="2431"/>
      <c r="T72" s="2431"/>
      <c r="U72" s="2431"/>
      <c r="V72" s="2431"/>
      <c r="W72" s="2431"/>
    </row>
    <row s="31744" customFormat="1" customHeight="1" ht="11.25" hidden="1">
      <c r="A73" s="638"/>
      <c r="B73" s="638"/>
      <c r="Y73" s="1625"/>
      <c r="Z73" s="1625"/>
      <c r="AA73" s="1625"/>
      <c r="AB73" s="1625"/>
      <c r="AC73" s="1625"/>
      <c r="AD73" s="1625"/>
      <c r="AE73" s="1625"/>
      <c r="AF73" s="1625"/>
      <c r="AG73" s="1625"/>
      <c r="AH73" s="1625"/>
      <c r="AI73" s="1625"/>
      <c r="AJ73" s="1625"/>
      <c r="AK73" s="1625"/>
      <c r="AL73" s="1625"/>
      <c r="AM73" s="1625"/>
      <c r="AN73" s="1625"/>
      <c r="AO73" s="1625"/>
      <c r="AP73" s="1625"/>
      <c r="AQ73" s="1625"/>
    </row>
    <row s="31744" customFormat="1" customHeight="1" ht="17.25" hidden="1">
      <c r="A74" s="682"/>
      <c r="C74" s="570"/>
      <c r="D74" s="2416">
        <v>1</v>
      </c>
      <c r="E74" s="2418" t="s">
        <v>228</v>
      </c>
      <c r="F74" s="2420" t="s">
        <v>56</v>
      </c>
      <c r="G74" s="2418"/>
      <c r="H74" s="2423"/>
      <c r="I74" s="2425"/>
      <c r="J74" s="2427"/>
      <c r="K74" s="2410"/>
      <c r="L74" s="2410"/>
      <c r="M74" s="2410"/>
      <c r="N74" s="2412"/>
      <c r="O74" s="2410"/>
      <c r="P74" s="2410"/>
      <c r="Q74" s="2410"/>
      <c r="R74" s="2415"/>
      <c r="S74" s="2410"/>
      <c r="T74" s="1836"/>
      <c r="U74" s="1836"/>
      <c r="V74" s="1838"/>
      <c r="W74" s="1662"/>
      <c r="Y74" s="1633"/>
      <c r="Z74" s="1633"/>
      <c r="AA74" s="1633"/>
      <c r="AB74" s="1633"/>
      <c r="AC74" s="1633" t="s">
        <v>229</v>
      </c>
      <c r="AD74" s="1633" t="s">
        <v>230</v>
      </c>
      <c r="AE74" s="1633" t="s">
        <v>231</v>
      </c>
      <c r="AF74" s="1633" t="s">
        <v>232</v>
      </c>
      <c r="AG74" s="1633"/>
      <c r="AH74" s="1633" t="str">
        <f>IF($E$74=0,"",$E$74)</f>
        <v>Тариф на питьевую воду (питьевое водоснабжение)</v>
      </c>
      <c r="AI74" s="1633" t="str">
        <f>IF($G$74=0,"",$G$74)</f>
        <v/>
      </c>
      <c r="AJ74" s="1633" t="str">
        <f>IF($J$74=0,"",$J$74)</f>
        <v/>
      </c>
      <c r="AK74" s="1633" t="str">
        <f>IF($K$74="нет","без дифференциации",IF($N$74=0,"",$N$74))</f>
        <v/>
      </c>
      <c r="AL74" s="1633" t="str">
        <f>IF($O$74="нет","без дифференциации",IF($R$74=0,"",$R$74))</f>
        <v/>
      </c>
      <c r="AM74" s="1633" t="str">
        <f>IF($S$74="нет","без дифференциации",IF($V$74=0,"",$V$74))</f>
        <v/>
      </c>
      <c r="AN74" s="1633">
        <f>$I$74</f>
        <v>0</v>
      </c>
      <c r="AO74" s="1633" t="str">
        <f>$I$74&amp;"."&amp;$M$74</f>
        <v>.</v>
      </c>
      <c r="AP74" s="1633" t="str">
        <f>$I$74&amp;"."&amp;$M$74&amp;"."&amp;$Q$74</f>
        <v>..</v>
      </c>
      <c r="AQ74" s="1633" t="str">
        <f>$I$74&amp;"."&amp;$M$74&amp;"."&amp;$Q$74&amp;"."&amp;$U$74</f>
        <v>...</v>
      </c>
    </row>
    <row s="31744" customFormat="1" customHeight="1" ht="17.25" hidden="1">
      <c r="A75" s="682"/>
      <c r="C75" s="681"/>
      <c r="D75" s="2416"/>
      <c r="E75" s="2418"/>
      <c r="F75" s="2421"/>
      <c r="G75" s="2418"/>
      <c r="H75" s="2424"/>
      <c r="I75" s="2426"/>
      <c r="J75" s="2428"/>
      <c r="K75" s="2411"/>
      <c r="L75" s="2411"/>
      <c r="M75" s="2411"/>
      <c r="N75" s="2413"/>
      <c r="O75" s="2411"/>
      <c r="P75" s="2411"/>
      <c r="Q75" s="2411"/>
      <c r="R75" s="2414"/>
      <c r="S75" s="2411"/>
      <c r="T75" s="1663"/>
      <c r="U75" s="1663"/>
      <c r="V75" s="1663"/>
      <c r="W75" s="1664"/>
      <c r="Y75" s="1625"/>
      <c r="Z75" s="1625"/>
      <c r="AA75" s="1625"/>
      <c r="AB75" s="1625"/>
      <c r="AC75" s="1625"/>
      <c r="AD75" s="1625"/>
      <c r="AE75" s="1625"/>
      <c r="AF75" s="1625"/>
      <c r="AG75" s="1625"/>
      <c r="AH75" s="1625"/>
      <c r="AI75" s="1625"/>
      <c r="AJ75" s="1625"/>
      <c r="AK75" s="1625"/>
      <c r="AL75" s="1625"/>
      <c r="AM75" s="1625"/>
      <c r="AN75" s="1625"/>
      <c r="AO75" s="1625"/>
      <c r="AP75" s="1625"/>
      <c r="AQ75" s="1625"/>
    </row>
    <row s="31746" customFormat="1" customHeight="1" ht="17.25" hidden="1">
      <c r="A76" s="682"/>
      <c r="C76" s="570"/>
      <c r="D76" s="2416"/>
      <c r="E76" s="2418"/>
      <c r="F76" s="2421"/>
      <c r="G76" s="2418"/>
      <c r="H76" s="2424"/>
      <c r="I76" s="2426"/>
      <c r="J76" s="2429"/>
      <c r="K76" s="2411"/>
      <c r="L76" s="2411"/>
      <c r="M76" s="2411"/>
      <c r="N76" s="2414"/>
      <c r="O76" s="2411"/>
      <c r="P76" s="1837"/>
      <c r="Q76" s="1663"/>
      <c r="R76" s="1663"/>
      <c r="S76" s="690"/>
      <c r="T76" s="690"/>
      <c r="U76" s="690"/>
      <c r="V76" s="690"/>
      <c r="W76" s="1664"/>
      <c r="Y76" s="1633"/>
      <c r="Z76" s="1633"/>
      <c r="AA76" s="1633"/>
      <c r="AB76" s="1633"/>
      <c r="AC76" s="1633"/>
      <c r="AD76" s="1633"/>
      <c r="AE76" s="1633"/>
      <c r="AF76" s="1633"/>
      <c r="AG76" s="1633"/>
      <c r="AH76" s="1633"/>
      <c r="AI76" s="1633"/>
      <c r="AJ76" s="1633"/>
      <c r="AK76" s="1633"/>
      <c r="AL76" s="1633"/>
      <c r="AM76" s="1633"/>
      <c r="AN76" s="1633"/>
      <c r="AO76" s="1633"/>
      <c r="AP76" s="1633"/>
      <c r="AQ76" s="1633"/>
    </row>
    <row s="31746" customFormat="1" customHeight="1" ht="17.25" hidden="1">
      <c r="A77" s="682"/>
      <c r="C77" s="681"/>
      <c r="D77" s="2416"/>
      <c r="E77" s="2418"/>
      <c r="F77" s="2421"/>
      <c r="G77" s="2418"/>
      <c r="H77" s="2424"/>
      <c r="I77" s="2426"/>
      <c r="J77" s="2429"/>
      <c r="K77" s="2411"/>
      <c r="L77" s="1663"/>
      <c r="M77" s="1663"/>
      <c r="N77" s="1663"/>
      <c r="O77" s="1663"/>
      <c r="P77" s="1663"/>
      <c r="Q77" s="1663"/>
      <c r="R77" s="1663"/>
      <c r="S77" s="690"/>
      <c r="T77" s="690"/>
      <c r="U77" s="690"/>
      <c r="V77" s="690"/>
      <c r="W77" s="1664"/>
      <c r="Y77" s="1625"/>
      <c r="Z77" s="1625"/>
      <c r="AA77" s="1625"/>
      <c r="AB77" s="1625"/>
      <c r="AC77" s="1625"/>
      <c r="AD77" s="1625"/>
      <c r="AE77" s="1625"/>
      <c r="AF77" s="1625"/>
      <c r="AG77" s="1625"/>
      <c r="AH77" s="1625"/>
      <c r="AI77" s="1625"/>
      <c r="AJ77" s="1625"/>
      <c r="AK77" s="1625"/>
      <c r="AL77" s="1625"/>
      <c r="AM77" s="1625"/>
      <c r="AN77" s="1625"/>
      <c r="AO77" s="1625"/>
      <c r="AP77" s="1625"/>
      <c r="AQ77" s="1625"/>
    </row>
    <row s="31744" customFormat="1" customHeight="1" ht="17.25" hidden="1">
      <c r="A78" s="682"/>
      <c r="C78" s="681"/>
      <c r="D78" s="2417"/>
      <c r="E78" s="2419"/>
      <c r="F78" s="2422"/>
      <c r="G78" s="2419"/>
      <c r="H78" s="1665"/>
      <c r="I78" s="1666"/>
      <c r="J78" s="1666"/>
      <c r="K78" s="1666"/>
      <c r="L78" s="1666"/>
      <c r="M78" s="1666"/>
      <c r="N78" s="1666"/>
      <c r="O78" s="1666"/>
      <c r="P78" s="1666"/>
      <c r="Q78" s="1666"/>
      <c r="R78" s="1666"/>
      <c r="S78" s="1667"/>
      <c r="T78" s="1667"/>
      <c r="U78" s="1667"/>
      <c r="V78" s="1667"/>
      <c r="W78" s="1668"/>
      <c r="Y78" s="1625"/>
      <c r="Z78" s="1625"/>
      <c r="AA78" s="1625"/>
      <c r="AB78" s="1625"/>
      <c r="AC78" s="1625"/>
      <c r="AD78" s="1625"/>
      <c r="AE78" s="1625"/>
      <c r="AF78" s="1625"/>
      <c r="AG78" s="1625"/>
      <c r="AH78" s="1625"/>
      <c r="AI78" s="1625"/>
      <c r="AJ78" s="1625"/>
      <c r="AK78" s="1625"/>
      <c r="AL78" s="1625"/>
      <c r="AM78" s="1625"/>
      <c r="AN78" s="1625"/>
      <c r="AO78" s="1625"/>
      <c r="AP78" s="1625"/>
      <c r="AQ78" s="1625"/>
    </row>
    <row s="31744" customFormat="1" customHeight="1" ht="17.25" hidden="1">
      <c r="A79" s="682"/>
      <c r="C79" s="570"/>
      <c r="D79" s="2416">
        <v>2</v>
      </c>
      <c r="E79" s="2418" t="s">
        <v>233</v>
      </c>
      <c r="F79" s="2420" t="s">
        <v>56</v>
      </c>
      <c r="G79" s="2418"/>
      <c r="H79" s="2423"/>
      <c r="I79" s="2425"/>
      <c r="J79" s="2427"/>
      <c r="K79" s="2410"/>
      <c r="L79" s="2410"/>
      <c r="M79" s="2410"/>
      <c r="N79" s="2412"/>
      <c r="O79" s="2410"/>
      <c r="P79" s="2410"/>
      <c r="Q79" s="2410"/>
      <c r="R79" s="2415"/>
      <c r="S79" s="2410"/>
      <c r="T79" s="1809"/>
      <c r="U79" s="1809"/>
      <c r="V79" s="1811"/>
      <c r="W79" s="1662"/>
      <c r="X79" s="1633"/>
      <c r="Y79" s="1633"/>
      <c r="Z79" s="1633"/>
      <c r="AA79" s="1633"/>
      <c r="AB79" s="1633"/>
      <c r="AC79" s="1633" t="s">
        <v>234</v>
      </c>
      <c r="AD79" s="1633" t="s">
        <v>235</v>
      </c>
      <c r="AE79" s="1633" t="s">
        <v>236</v>
      </c>
      <c r="AF79" s="1633" t="s">
        <v>237</v>
      </c>
      <c r="AG79" s="1633"/>
      <c r="AH79" s="1633" t="str">
        <f>IF($E$79=0,"",$E$79)</f>
        <v>Тариф на техническую воду</v>
      </c>
      <c r="AI79" s="1633" t="str">
        <f>IF($G$79=0,"",$G$79)</f>
        <v/>
      </c>
      <c r="AJ79" s="1633" t="str">
        <f>IF($J$79=0,"",$J$79)</f>
        <v/>
      </c>
      <c r="AK79" s="1633" t="str">
        <f>IF($K$79="нет","без дифференциации",IF($N$79=0,"",$N$79))</f>
        <v/>
      </c>
      <c r="AL79" s="1633" t="str">
        <f>IF($O$79="нет","без дифференциации",IF($R$79=0,"",$R$79))</f>
        <v/>
      </c>
      <c r="AM79" s="1633" t="str">
        <f>IF($S$79="нет","без дифференциации",IF($V$79=0,"",$V$79))</f>
        <v/>
      </c>
      <c r="AN79" s="2138">
        <f>$I$79</f>
        <v>0</v>
      </c>
      <c r="AO79" s="1633" t="str">
        <f>$I$79&amp;"."&amp;$M$79</f>
        <v>.</v>
      </c>
      <c r="AP79" s="1625" t="str">
        <f>$I$79&amp;"."&amp;$M$79&amp;"."&amp;$Q$79</f>
        <v>..</v>
      </c>
      <c r="AQ79" s="1625" t="str">
        <f>$I$79&amp;"."&amp;$M$79&amp;"."&amp;$Q$79&amp;"."&amp;$U$79</f>
        <v>...</v>
      </c>
    </row>
    <row s="31744" customFormat="1" customHeight="1" ht="17.25" hidden="1">
      <c r="A80" s="682"/>
      <c r="C80" s="681"/>
      <c r="D80" s="2416"/>
      <c r="E80" s="2418"/>
      <c r="F80" s="2421"/>
      <c r="G80" s="2418"/>
      <c r="H80" s="2424"/>
      <c r="I80" s="2426"/>
      <c r="J80" s="2428"/>
      <c r="K80" s="2411"/>
      <c r="L80" s="2411"/>
      <c r="M80" s="2411"/>
      <c r="N80" s="2413"/>
      <c r="O80" s="2411"/>
      <c r="P80" s="2411"/>
      <c r="Q80" s="2411"/>
      <c r="R80" s="2414"/>
      <c r="S80" s="2411"/>
      <c r="T80" s="1663"/>
      <c r="U80" s="1663"/>
      <c r="V80" s="1663"/>
      <c r="W80" s="1664"/>
      <c r="X80" s="1625"/>
      <c r="Y80" s="1625"/>
      <c r="Z80" s="1625"/>
      <c r="AA80" s="1625"/>
      <c r="AB80" s="1625"/>
      <c r="AC80" s="1625"/>
      <c r="AD80" s="1625"/>
      <c r="AE80" s="1625"/>
      <c r="AF80" s="1625"/>
      <c r="AG80" s="1625"/>
      <c r="AH80" s="1625"/>
      <c r="AI80" s="1625"/>
      <c r="AJ80" s="1625"/>
      <c r="AK80" s="1625"/>
      <c r="AL80" s="1625"/>
      <c r="AM80" s="1625"/>
      <c r="AN80" s="1625"/>
      <c r="AO80" s="1625"/>
      <c r="AP80" s="1625"/>
      <c r="AQ80" s="1625"/>
    </row>
    <row s="31744" customFormat="1" customHeight="1" ht="17.25" hidden="1">
      <c r="A81" s="682"/>
      <c r="C81" s="681"/>
      <c r="D81" s="2417"/>
      <c r="E81" s="2419"/>
      <c r="F81" s="2421"/>
      <c r="G81" s="2419"/>
      <c r="H81" s="2424"/>
      <c r="I81" s="2426"/>
      <c r="J81" s="2429"/>
      <c r="K81" s="2411"/>
      <c r="L81" s="2411"/>
      <c r="M81" s="2411"/>
      <c r="N81" s="2414"/>
      <c r="O81" s="2411"/>
      <c r="P81" s="1810"/>
      <c r="Q81" s="1663"/>
      <c r="R81" s="1663"/>
      <c r="S81" s="690"/>
      <c r="T81" s="690"/>
      <c r="U81" s="690"/>
      <c r="V81" s="690"/>
      <c r="W81" s="1664"/>
      <c r="X81" s="1625"/>
      <c r="Y81" s="1625"/>
      <c r="Z81" s="1625"/>
      <c r="AA81" s="1625"/>
      <c r="AB81" s="1625"/>
      <c r="AC81" s="1625"/>
      <c r="AD81" s="1625"/>
      <c r="AE81" s="1625"/>
      <c r="AF81" s="1625"/>
      <c r="AG81" s="1625"/>
      <c r="AH81" s="1625"/>
      <c r="AI81" s="1625"/>
      <c r="AJ81" s="1625"/>
      <c r="AK81" s="1625"/>
      <c r="AL81" s="1625"/>
      <c r="AM81" s="1625"/>
      <c r="AN81" s="1625"/>
      <c r="AO81" s="1625"/>
      <c r="AP81" s="1625"/>
      <c r="AQ81" s="1625"/>
    </row>
    <row s="31744" customFormat="1" customHeight="1" ht="17.25" hidden="1">
      <c r="A82" s="682"/>
      <c r="C82" s="681"/>
      <c r="D82" s="2417"/>
      <c r="E82" s="2419"/>
      <c r="F82" s="2421"/>
      <c r="G82" s="2419"/>
      <c r="H82" s="2424"/>
      <c r="I82" s="2426"/>
      <c r="J82" s="2429"/>
      <c r="K82" s="2411"/>
      <c r="L82" s="1663"/>
      <c r="M82" s="1663"/>
      <c r="N82" s="1663"/>
      <c r="O82" s="1663"/>
      <c r="P82" s="1663"/>
      <c r="Q82" s="1663"/>
      <c r="R82" s="1663"/>
      <c r="S82" s="690"/>
      <c r="T82" s="690"/>
      <c r="U82" s="690"/>
      <c r="V82" s="690"/>
      <c r="W82" s="1664"/>
      <c r="X82" s="1625"/>
      <c r="Y82" s="1625"/>
      <c r="Z82" s="1625"/>
      <c r="AA82" s="1625"/>
      <c r="AB82" s="1625"/>
      <c r="AC82" s="1625"/>
      <c r="AD82" s="1625"/>
      <c r="AE82" s="1625"/>
      <c r="AF82" s="1625"/>
      <c r="AG82" s="1625"/>
      <c r="AH82" s="1625"/>
      <c r="AI82" s="1625"/>
      <c r="AJ82" s="1625"/>
      <c r="AK82" s="1625"/>
      <c r="AL82" s="1625"/>
      <c r="AM82" s="1625"/>
      <c r="AN82" s="1625"/>
      <c r="AO82" s="1625"/>
      <c r="AP82" s="1625"/>
      <c r="AQ82" s="1625"/>
    </row>
    <row s="31744" customFormat="1" customHeight="1" ht="17.25" hidden="1">
      <c r="A83" s="682"/>
      <c r="C83" s="681"/>
      <c r="D83" s="2417"/>
      <c r="E83" s="2419"/>
      <c r="F83" s="2422"/>
      <c r="G83" s="2419"/>
      <c r="H83" s="1665"/>
      <c r="I83" s="1666"/>
      <c r="J83" s="1666"/>
      <c r="K83" s="1666"/>
      <c r="L83" s="1666"/>
      <c r="M83" s="1666"/>
      <c r="N83" s="1666"/>
      <c r="O83" s="1666"/>
      <c r="P83" s="1666"/>
      <c r="Q83" s="1666"/>
      <c r="R83" s="1666"/>
      <c r="S83" s="1667"/>
      <c r="T83" s="1667"/>
      <c r="U83" s="1667"/>
      <c r="V83" s="1667"/>
      <c r="W83" s="1668"/>
      <c r="X83" s="1625"/>
      <c r="Y83" s="1625"/>
      <c r="Z83" s="1625"/>
      <c r="AA83" s="1625"/>
      <c r="AB83" s="1625"/>
      <c r="AC83" s="1625"/>
      <c r="AD83" s="1625"/>
      <c r="AE83" s="1625"/>
      <c r="AF83" s="1625"/>
      <c r="AG83" s="1625"/>
      <c r="AH83" s="1625"/>
      <c r="AI83" s="1625"/>
      <c r="AJ83" s="1625"/>
      <c r="AK83" s="1625"/>
      <c r="AL83" s="1625"/>
      <c r="AM83" s="1625"/>
      <c r="AN83" s="1625"/>
      <c r="AO83" s="1625"/>
      <c r="AP83" s="1625"/>
      <c r="AQ83" s="1625"/>
    </row>
    <row s="31744" customFormat="1" customHeight="1" ht="17.25" hidden="1">
      <c r="A84" s="682"/>
      <c r="C84" s="570"/>
      <c r="D84" s="2416">
        <v>3</v>
      </c>
      <c r="E84" s="2418" t="s">
        <v>238</v>
      </c>
      <c r="F84" s="2420" t="s">
        <v>56</v>
      </c>
      <c r="G84" s="2418"/>
      <c r="H84" s="2423"/>
      <c r="I84" s="2425"/>
      <c r="J84" s="2427"/>
      <c r="K84" s="2410"/>
      <c r="L84" s="2410"/>
      <c r="M84" s="2410"/>
      <c r="N84" s="2412"/>
      <c r="O84" s="2410"/>
      <c r="P84" s="2410"/>
      <c r="Q84" s="2410"/>
      <c r="R84" s="2415"/>
      <c r="S84" s="2410"/>
      <c r="T84" s="1809"/>
      <c r="U84" s="1809"/>
      <c r="V84" s="1811"/>
      <c r="W84" s="1662"/>
      <c r="X84" s="1633"/>
      <c r="Y84" s="1633"/>
      <c r="Z84" s="1633"/>
      <c r="AA84" s="1633"/>
      <c r="AB84" s="1633"/>
      <c r="AC84" s="1633" t="s">
        <v>239</v>
      </c>
      <c r="AD84" s="1633" t="s">
        <v>240</v>
      </c>
      <c r="AE84" s="1633" t="s">
        <v>241</v>
      </c>
      <c r="AF84" s="1633" t="s">
        <v>242</v>
      </c>
      <c r="AG84" s="1633"/>
      <c r="AH84" s="1633" t="str">
        <f>IF($E$84=0,"",$E$84)</f>
        <v>Тариф на транспортировку воды</v>
      </c>
      <c r="AI84" s="1633" t="str">
        <f>IF($G$84=0,"",$G$84)</f>
        <v/>
      </c>
      <c r="AJ84" s="1633" t="str">
        <f>IF($J$84=0,"",$J$84)</f>
        <v/>
      </c>
      <c r="AK84" s="1633" t="str">
        <f>IF($K$84="нет","без дифференциации",IF($N$84=0,"",$N$84))</f>
        <v/>
      </c>
      <c r="AL84" s="1633" t="str">
        <f>IF($O$84="нет","без дифференциации",IF($R$84=0,"",$R$84))</f>
        <v/>
      </c>
      <c r="AM84" s="1633" t="str">
        <f>IF($S$84="нет","без дифференциации",IF($V$84=0,"",$V$84))</f>
        <v/>
      </c>
      <c r="AN84" s="2138">
        <f>$I$84</f>
        <v>0</v>
      </c>
      <c r="AO84" s="1633" t="str">
        <f>$I$84&amp;"."&amp;$M$84</f>
        <v>.</v>
      </c>
      <c r="AP84" s="1625" t="str">
        <f>$I$84&amp;"."&amp;$M$84&amp;"."&amp;$Q$84</f>
        <v>..</v>
      </c>
      <c r="AQ84" s="1625" t="str">
        <f>$I$84&amp;"."&amp;$M$84&amp;"."&amp;$Q$84&amp;"."&amp;$U$84</f>
        <v>...</v>
      </c>
    </row>
    <row s="31744" customFormat="1" customHeight="1" ht="17.25" hidden="1">
      <c r="A85" s="682"/>
      <c r="C85" s="681"/>
      <c r="D85" s="2416"/>
      <c r="E85" s="2418"/>
      <c r="F85" s="2421"/>
      <c r="G85" s="2418"/>
      <c r="H85" s="2424"/>
      <c r="I85" s="2426"/>
      <c r="J85" s="2428"/>
      <c r="K85" s="2411"/>
      <c r="L85" s="2411"/>
      <c r="M85" s="2411"/>
      <c r="N85" s="2413"/>
      <c r="O85" s="2411"/>
      <c r="P85" s="2411"/>
      <c r="Q85" s="2411"/>
      <c r="R85" s="2414"/>
      <c r="S85" s="2411"/>
      <c r="T85" s="1663"/>
      <c r="U85" s="1663"/>
      <c r="V85" s="1663"/>
      <c r="W85" s="1664"/>
      <c r="X85" s="1625"/>
      <c r="Y85" s="1625"/>
      <c r="Z85" s="1625"/>
      <c r="AA85" s="1625"/>
      <c r="AB85" s="1625"/>
      <c r="AC85" s="1625"/>
      <c r="AD85" s="1625"/>
      <c r="AE85" s="1625"/>
      <c r="AF85" s="1625"/>
      <c r="AG85" s="1625"/>
      <c r="AH85" s="1625"/>
      <c r="AI85" s="1625"/>
      <c r="AJ85" s="1625"/>
      <c r="AK85" s="1625"/>
      <c r="AL85" s="1625"/>
      <c r="AM85" s="1625"/>
      <c r="AN85" s="1625"/>
      <c r="AO85" s="1625"/>
      <c r="AP85" s="1625"/>
      <c r="AQ85" s="1625"/>
    </row>
    <row s="31744" customFormat="1" customHeight="1" ht="17.25" hidden="1">
      <c r="A86" s="682"/>
      <c r="C86" s="681"/>
      <c r="D86" s="2417"/>
      <c r="E86" s="2419"/>
      <c r="F86" s="2421"/>
      <c r="G86" s="2419"/>
      <c r="H86" s="2424"/>
      <c r="I86" s="2426"/>
      <c r="J86" s="2429"/>
      <c r="K86" s="2411"/>
      <c r="L86" s="2411"/>
      <c r="M86" s="2411"/>
      <c r="N86" s="2414"/>
      <c r="O86" s="2411"/>
      <c r="P86" s="1810"/>
      <c r="Q86" s="1663"/>
      <c r="R86" s="1663"/>
      <c r="S86" s="690"/>
      <c r="T86" s="690"/>
      <c r="U86" s="690"/>
      <c r="V86" s="690"/>
      <c r="W86" s="1664"/>
      <c r="X86" s="1625"/>
      <c r="Y86" s="1625"/>
      <c r="Z86" s="1625"/>
      <c r="AA86" s="1625"/>
      <c r="AB86" s="1625"/>
      <c r="AC86" s="1625"/>
      <c r="AD86" s="1625"/>
      <c r="AE86" s="1625"/>
      <c r="AF86" s="1625"/>
      <c r="AG86" s="1625"/>
      <c r="AH86" s="1625"/>
      <c r="AI86" s="1625"/>
      <c r="AJ86" s="1625"/>
      <c r="AK86" s="1625"/>
      <c r="AL86" s="1625"/>
      <c r="AM86" s="1625"/>
      <c r="AN86" s="1625"/>
      <c r="AO86" s="1625"/>
      <c r="AP86" s="1625"/>
      <c r="AQ86" s="1625"/>
    </row>
    <row s="31744" customFormat="1" customHeight="1" ht="17.25" hidden="1">
      <c r="A87" s="682"/>
      <c r="C87" s="681"/>
      <c r="D87" s="2417"/>
      <c r="E87" s="2419"/>
      <c r="F87" s="2421"/>
      <c r="G87" s="2419"/>
      <c r="H87" s="2424"/>
      <c r="I87" s="2426"/>
      <c r="J87" s="2429"/>
      <c r="K87" s="2411"/>
      <c r="L87" s="1663"/>
      <c r="M87" s="1663"/>
      <c r="N87" s="1663"/>
      <c r="O87" s="1663"/>
      <c r="P87" s="1663"/>
      <c r="Q87" s="1663"/>
      <c r="R87" s="1663"/>
      <c r="S87" s="690"/>
      <c r="T87" s="690"/>
      <c r="U87" s="690"/>
      <c r="V87" s="690"/>
      <c r="W87" s="1664"/>
      <c r="X87" s="1625"/>
      <c r="Y87" s="1625"/>
      <c r="Z87" s="1625"/>
      <c r="AA87" s="1625"/>
      <c r="AB87" s="1625"/>
      <c r="AC87" s="1625"/>
      <c r="AD87" s="1625"/>
      <c r="AE87" s="1625"/>
      <c r="AF87" s="1625"/>
      <c r="AG87" s="1625"/>
      <c r="AH87" s="1625"/>
      <c r="AI87" s="1625"/>
      <c r="AJ87" s="1625"/>
      <c r="AK87" s="1625"/>
      <c r="AL87" s="1625"/>
      <c r="AM87" s="1625"/>
      <c r="AN87" s="1625"/>
      <c r="AO87" s="1625"/>
      <c r="AP87" s="1625"/>
      <c r="AQ87" s="1625"/>
    </row>
    <row s="31744" customFormat="1" customHeight="1" ht="17.25" hidden="1">
      <c r="A88" s="682"/>
      <c r="C88" s="681"/>
      <c r="D88" s="2417"/>
      <c r="E88" s="2419"/>
      <c r="F88" s="2422"/>
      <c r="G88" s="2419"/>
      <c r="H88" s="1665"/>
      <c r="I88" s="1666"/>
      <c r="J88" s="1666"/>
      <c r="K88" s="1666"/>
      <c r="L88" s="1666"/>
      <c r="M88" s="1666"/>
      <c r="N88" s="1666"/>
      <c r="O88" s="1666"/>
      <c r="P88" s="1666"/>
      <c r="Q88" s="1666"/>
      <c r="R88" s="1666"/>
      <c r="S88" s="1667"/>
      <c r="T88" s="1667"/>
      <c r="U88" s="1667"/>
      <c r="V88" s="1667"/>
      <c r="W88" s="1668"/>
      <c r="X88" s="1625"/>
      <c r="Y88" s="1625"/>
      <c r="Z88" s="1625"/>
      <c r="AA88" s="1625"/>
      <c r="AB88" s="1625"/>
      <c r="AC88" s="1625"/>
      <c r="AD88" s="1625"/>
      <c r="AE88" s="1625"/>
      <c r="AF88" s="1625"/>
      <c r="AG88" s="1625"/>
      <c r="AH88" s="1625"/>
      <c r="AI88" s="1625"/>
      <c r="AJ88" s="1625"/>
      <c r="AK88" s="1625"/>
      <c r="AL88" s="1625"/>
      <c r="AM88" s="1625"/>
      <c r="AN88" s="1625"/>
      <c r="AO88" s="1625"/>
      <c r="AP88" s="1625"/>
      <c r="AQ88" s="1625"/>
    </row>
    <row s="31744" customFormat="1" customHeight="1" ht="17.25" hidden="1">
      <c r="A89" s="682"/>
      <c r="C89" s="570"/>
      <c r="D89" s="2416">
        <v>4</v>
      </c>
      <c r="E89" s="2418" t="s">
        <v>243</v>
      </c>
      <c r="F89" s="2420" t="s">
        <v>56</v>
      </c>
      <c r="G89" s="2418"/>
      <c r="H89" s="2423"/>
      <c r="I89" s="2425"/>
      <c r="J89" s="2427"/>
      <c r="K89" s="2410"/>
      <c r="L89" s="2410"/>
      <c r="M89" s="2410"/>
      <c r="N89" s="2412"/>
      <c r="O89" s="2410"/>
      <c r="P89" s="2410"/>
      <c r="Q89" s="2410"/>
      <c r="R89" s="2415"/>
      <c r="S89" s="2410"/>
      <c r="T89" s="1809"/>
      <c r="U89" s="1809"/>
      <c r="V89" s="1811"/>
      <c r="W89" s="1662"/>
      <c r="X89" s="1633"/>
      <c r="Y89" s="1633"/>
      <c r="Z89" s="1633"/>
      <c r="AA89" s="1633"/>
      <c r="AB89" s="1633"/>
      <c r="AC89" s="1633" t="s">
        <v>244</v>
      </c>
      <c r="AD89" s="1633" t="s">
        <v>245</v>
      </c>
      <c r="AE89" s="1633" t="s">
        <v>246</v>
      </c>
      <c r="AF89" s="1633" t="s">
        <v>247</v>
      </c>
      <c r="AG89" s="1633"/>
      <c r="AH89" s="1633" t="str">
        <f>IF($E$89=0,"",$E$89)</f>
        <v>Тариф на подвоз воды</v>
      </c>
      <c r="AI89" s="1633" t="str">
        <f>IF($G$89=0,"",$G$89)</f>
        <v/>
      </c>
      <c r="AJ89" s="1633" t="str">
        <f>IF($J$89=0,"",$J$89)</f>
        <v/>
      </c>
      <c r="AK89" s="1633" t="str">
        <f>IF($K$89="нет","без дифференциации",IF($N$89=0,"",$N$89))</f>
        <v/>
      </c>
      <c r="AL89" s="1633" t="str">
        <f>IF($O$89="нет","без дифференциации",IF($R$89=0,"",$R$89))</f>
        <v/>
      </c>
      <c r="AM89" s="1633" t="str">
        <f>IF($S$89="нет","без дифференциации",IF($V$89=0,"",$V$89))</f>
        <v/>
      </c>
      <c r="AN89" s="2138">
        <f>$I$89</f>
        <v>0</v>
      </c>
      <c r="AO89" s="1633" t="str">
        <f>$I$89&amp;"."&amp;$M$89</f>
        <v>.</v>
      </c>
      <c r="AP89" s="1625" t="str">
        <f>$I$89&amp;"."&amp;$M$89&amp;"."&amp;$Q$89</f>
        <v>..</v>
      </c>
      <c r="AQ89" s="1625" t="str">
        <f>$I$89&amp;"."&amp;$M$89&amp;"."&amp;$Q$89&amp;"."&amp;$U$89</f>
        <v>...</v>
      </c>
    </row>
    <row s="31744" customFormat="1" customHeight="1" ht="17.25" hidden="1">
      <c r="A90" s="682"/>
      <c r="C90" s="681"/>
      <c r="D90" s="2416"/>
      <c r="E90" s="2418"/>
      <c r="F90" s="2421"/>
      <c r="G90" s="2418"/>
      <c r="H90" s="2424"/>
      <c r="I90" s="2426"/>
      <c r="J90" s="2428"/>
      <c r="K90" s="2411"/>
      <c r="L90" s="2411"/>
      <c r="M90" s="2411"/>
      <c r="N90" s="2413"/>
      <c r="O90" s="2411"/>
      <c r="P90" s="2411"/>
      <c r="Q90" s="2411"/>
      <c r="R90" s="2414"/>
      <c r="S90" s="2411"/>
      <c r="T90" s="1663"/>
      <c r="U90" s="1663"/>
      <c r="V90" s="1663"/>
      <c r="W90" s="1664"/>
      <c r="X90" s="1625"/>
      <c r="Y90" s="1625"/>
      <c r="Z90" s="1625"/>
      <c r="AA90" s="1625"/>
      <c r="AB90" s="1625"/>
      <c r="AC90" s="1625"/>
      <c r="AD90" s="1625"/>
      <c r="AE90" s="1625"/>
      <c r="AF90" s="1625"/>
      <c r="AG90" s="1625"/>
      <c r="AH90" s="1625"/>
      <c r="AI90" s="1625"/>
      <c r="AJ90" s="1625"/>
      <c r="AK90" s="1625"/>
      <c r="AL90" s="1625"/>
      <c r="AM90" s="1625"/>
      <c r="AN90" s="1625"/>
      <c r="AO90" s="1625"/>
      <c r="AP90" s="1625"/>
      <c r="AQ90" s="1625"/>
    </row>
    <row s="31744" customFormat="1" customHeight="1" ht="17.25" hidden="1">
      <c r="A91" s="682"/>
      <c r="C91" s="681"/>
      <c r="D91" s="2417"/>
      <c r="E91" s="2419"/>
      <c r="F91" s="2421"/>
      <c r="G91" s="2419"/>
      <c r="H91" s="2424"/>
      <c r="I91" s="2426"/>
      <c r="J91" s="2429"/>
      <c r="K91" s="2411"/>
      <c r="L91" s="2411"/>
      <c r="M91" s="2411"/>
      <c r="N91" s="2414"/>
      <c r="O91" s="2411"/>
      <c r="P91" s="1810"/>
      <c r="Q91" s="1663"/>
      <c r="R91" s="1663"/>
      <c r="S91" s="690"/>
      <c r="T91" s="690"/>
      <c r="U91" s="690"/>
      <c r="V91" s="690"/>
      <c r="W91" s="1664"/>
      <c r="X91" s="1625"/>
      <c r="Y91" s="1625"/>
      <c r="Z91" s="1625"/>
      <c r="AA91" s="1625"/>
      <c r="AB91" s="1625"/>
      <c r="AC91" s="1625"/>
      <c r="AD91" s="1625"/>
      <c r="AE91" s="1625"/>
      <c r="AF91" s="1625"/>
      <c r="AG91" s="1625"/>
      <c r="AH91" s="1625"/>
      <c r="AI91" s="1625"/>
      <c r="AJ91" s="1625"/>
      <c r="AK91" s="1625"/>
      <c r="AL91" s="1625"/>
      <c r="AM91" s="1625"/>
      <c r="AN91" s="1625"/>
      <c r="AO91" s="1625"/>
      <c r="AP91" s="1625"/>
      <c r="AQ91" s="1625"/>
    </row>
    <row s="31744" customFormat="1" customHeight="1" ht="17.25" hidden="1">
      <c r="A92" s="682"/>
      <c r="C92" s="681"/>
      <c r="D92" s="2417"/>
      <c r="E92" s="2419"/>
      <c r="F92" s="2421"/>
      <c r="G92" s="2419"/>
      <c r="H92" s="2424"/>
      <c r="I92" s="2426"/>
      <c r="J92" s="2429"/>
      <c r="K92" s="2411"/>
      <c r="L92" s="1663"/>
      <c r="M92" s="1663"/>
      <c r="N92" s="1663"/>
      <c r="O92" s="1663"/>
      <c r="P92" s="1663"/>
      <c r="Q92" s="1663"/>
      <c r="R92" s="1663"/>
      <c r="S92" s="690"/>
      <c r="T92" s="690"/>
      <c r="U92" s="690"/>
      <c r="V92" s="690"/>
      <c r="W92" s="1664"/>
      <c r="X92" s="1625"/>
      <c r="Y92" s="1625"/>
      <c r="Z92" s="1625"/>
      <c r="AA92" s="1625"/>
      <c r="AB92" s="1625"/>
      <c r="AC92" s="1625"/>
      <c r="AD92" s="1625"/>
      <c r="AE92" s="1625"/>
      <c r="AF92" s="1625"/>
      <c r="AG92" s="1625"/>
      <c r="AH92" s="1625"/>
      <c r="AI92" s="1625"/>
      <c r="AJ92" s="1625"/>
      <c r="AK92" s="1625"/>
      <c r="AL92" s="1625"/>
      <c r="AM92" s="1625"/>
      <c r="AN92" s="1625"/>
      <c r="AO92" s="1625"/>
      <c r="AP92" s="1625"/>
      <c r="AQ92" s="1625"/>
    </row>
    <row s="31744" customFormat="1" customHeight="1" ht="17.25" hidden="1">
      <c r="A93" s="682"/>
      <c r="C93" s="681"/>
      <c r="D93" s="2417"/>
      <c r="E93" s="2419"/>
      <c r="F93" s="2422"/>
      <c r="G93" s="2419"/>
      <c r="H93" s="1665"/>
      <c r="I93" s="1666"/>
      <c r="J93" s="1666"/>
      <c r="K93" s="1666"/>
      <c r="L93" s="1666"/>
      <c r="M93" s="1666"/>
      <c r="N93" s="1666"/>
      <c r="O93" s="1666"/>
      <c r="P93" s="1666"/>
      <c r="Q93" s="1666"/>
      <c r="R93" s="1666"/>
      <c r="S93" s="1667"/>
      <c r="T93" s="1667"/>
      <c r="U93" s="1667"/>
      <c r="V93" s="1667"/>
      <c r="W93" s="1668"/>
      <c r="X93" s="1625"/>
      <c r="Y93" s="1625"/>
      <c r="Z93" s="1625"/>
      <c r="AA93" s="1625"/>
      <c r="AB93" s="1625"/>
      <c r="AC93" s="1625"/>
      <c r="AD93" s="1625"/>
      <c r="AE93" s="1625"/>
      <c r="AF93" s="1625"/>
      <c r="AG93" s="1625"/>
      <c r="AH93" s="1625"/>
      <c r="AI93" s="1625"/>
      <c r="AJ93" s="1625"/>
      <c r="AK93" s="1625"/>
      <c r="AL93" s="1625"/>
      <c r="AM93" s="1625"/>
      <c r="AN93" s="1625"/>
      <c r="AO93" s="1625"/>
      <c r="AP93" s="1625"/>
      <c r="AQ93" s="1625"/>
    </row>
    <row s="31730" customFormat="1" customHeight="1" ht="17.25" hidden="1">
      <c r="A94" s="682"/>
      <c r="C94" s="570"/>
      <c r="D94" s="2416">
        <v>5</v>
      </c>
      <c r="E94" s="2418" t="s">
        <v>248</v>
      </c>
      <c r="F94" s="2420" t="s">
        <v>56</v>
      </c>
      <c r="G94" s="2418"/>
      <c r="H94" s="2423"/>
      <c r="I94" s="2425"/>
      <c r="J94" s="2427"/>
      <c r="K94" s="2410"/>
      <c r="L94" s="2410"/>
      <c r="M94" s="2410"/>
      <c r="N94" s="2412"/>
      <c r="O94" s="2410"/>
      <c r="P94" s="2410"/>
      <c r="Q94" s="2410"/>
      <c r="R94" s="2415"/>
      <c r="S94" s="2410"/>
      <c r="T94" s="2310"/>
      <c r="U94" s="2310"/>
      <c r="V94" s="2312"/>
      <c r="W94" s="1662"/>
      <c r="X94" s="1633"/>
      <c r="Y94" s="1633"/>
      <c r="Z94" s="1633"/>
      <c r="AA94" s="1633"/>
      <c r="AB94" s="1633"/>
      <c r="AC94" s="1633" t="s">
        <v>249</v>
      </c>
      <c r="AD94" s="1633" t="s">
        <v>250</v>
      </c>
      <c r="AE94" s="1633" t="s">
        <v>251</v>
      </c>
      <c r="AF94" s="1633" t="s">
        <v>252</v>
      </c>
      <c r="AG94" s="1633"/>
      <c r="AH94" s="1633" t="str">
        <f>IF($E$94=0,"",$E$94)</f>
        <v>Тариф на подключение (технологическое присоединение) к централизованной системе холодного водоснабжения</v>
      </c>
      <c r="AI94" s="1633" t="str">
        <f>IF($G$94=0,"",$G$94)</f>
        <v/>
      </c>
      <c r="AJ94" s="1633" t="str">
        <f>IF($J$94=0,"",$J$94)</f>
        <v/>
      </c>
      <c r="AK94" s="1633" t="str">
        <f>IF($K$94="нет","без дифференциации",IF($N$94=0,"",$N$94))</f>
        <v/>
      </c>
      <c r="AL94" s="1633" t="str">
        <f>IF($O$94="нет","без дифференциации",IF($R$94=0,"",$R$94))</f>
        <v/>
      </c>
      <c r="AM94" s="1633" t="str">
        <f>IF($S$94="нет","без дифференциации",IF($V$94=0,"",$V$94))</f>
        <v/>
      </c>
      <c r="AN94" s="2138">
        <f>$I$94</f>
        <v>0</v>
      </c>
      <c r="AO94" s="1633" t="str">
        <f>$I$94&amp;"."&amp;$M$94</f>
        <v>.</v>
      </c>
      <c r="AP94" s="1632" t="str">
        <f>$I$94&amp;"."&amp;$M$94&amp;"."&amp;$Q$94</f>
        <v>..</v>
      </c>
      <c r="AQ94" s="1632" t="str">
        <f>$I$94&amp;"."&amp;$M$94&amp;"."&amp;$Q$94&amp;"."&amp;$U$94</f>
        <v>...</v>
      </c>
    </row>
    <row s="31730" customFormat="1" customHeight="1" ht="17.25" hidden="1">
      <c r="A95" s="682"/>
      <c r="C95" s="681"/>
      <c r="D95" s="2416"/>
      <c r="E95" s="2418"/>
      <c r="F95" s="2421"/>
      <c r="G95" s="2418"/>
      <c r="H95" s="2424"/>
      <c r="I95" s="2426"/>
      <c r="J95" s="2428"/>
      <c r="K95" s="2411"/>
      <c r="L95" s="2411"/>
      <c r="M95" s="2411"/>
      <c r="N95" s="2413"/>
      <c r="O95" s="2411"/>
      <c r="P95" s="2411"/>
      <c r="Q95" s="2411"/>
      <c r="R95" s="2414"/>
      <c r="S95" s="2411"/>
      <c r="T95" s="2315"/>
      <c r="U95" s="2315"/>
      <c r="V95" s="2315"/>
      <c r="W95" s="2316"/>
      <c r="X95" s="1632"/>
      <c r="Y95" s="1632"/>
      <c r="Z95" s="1632"/>
      <c r="AA95" s="1632"/>
      <c r="AB95" s="1632"/>
      <c r="AC95" s="1632"/>
      <c r="AD95" s="1632"/>
      <c r="AE95" s="1632"/>
      <c r="AF95" s="1632"/>
      <c r="AG95" s="1632"/>
      <c r="AH95" s="1632"/>
      <c r="AI95" s="1632"/>
      <c r="AJ95" s="1632"/>
      <c r="AK95" s="1632"/>
      <c r="AL95" s="1632"/>
      <c r="AM95" s="1632"/>
      <c r="AN95" s="1632"/>
      <c r="AO95" s="1632"/>
      <c r="AP95" s="1632"/>
      <c r="AQ95" s="1632"/>
    </row>
    <row s="31730" customFormat="1" customHeight="1" ht="17.25" hidden="1">
      <c r="A96" s="682"/>
      <c r="C96" s="681"/>
      <c r="D96" s="2417"/>
      <c r="E96" s="2419"/>
      <c r="F96" s="2421"/>
      <c r="G96" s="2419"/>
      <c r="H96" s="2424"/>
      <c r="I96" s="2426"/>
      <c r="J96" s="2429"/>
      <c r="K96" s="2411"/>
      <c r="L96" s="2411"/>
      <c r="M96" s="2411"/>
      <c r="N96" s="2414"/>
      <c r="O96" s="2411"/>
      <c r="P96" s="2311"/>
      <c r="Q96" s="2315"/>
      <c r="R96" s="2315"/>
      <c r="S96" s="690"/>
      <c r="T96" s="690"/>
      <c r="U96" s="690"/>
      <c r="V96" s="690"/>
      <c r="W96" s="2316"/>
      <c r="X96" s="1632"/>
      <c r="Y96" s="1632"/>
      <c r="Z96" s="1632"/>
      <c r="AA96" s="1632"/>
      <c r="AB96" s="1632"/>
      <c r="AC96" s="1632"/>
      <c r="AD96" s="1632"/>
      <c r="AE96" s="1632"/>
      <c r="AF96" s="1632"/>
      <c r="AG96" s="1632"/>
      <c r="AH96" s="1632"/>
      <c r="AI96" s="1632"/>
      <c r="AJ96" s="1632"/>
      <c r="AK96" s="1632"/>
      <c r="AL96" s="1632"/>
      <c r="AM96" s="1632"/>
      <c r="AN96" s="1632"/>
      <c r="AO96" s="1632"/>
      <c r="AP96" s="1632"/>
      <c r="AQ96" s="1632"/>
    </row>
    <row s="31730" customFormat="1" customHeight="1" ht="17.25" hidden="1">
      <c r="A97" s="682"/>
      <c r="C97" s="681"/>
      <c r="D97" s="2417"/>
      <c r="E97" s="2419"/>
      <c r="F97" s="2421"/>
      <c r="G97" s="2419"/>
      <c r="H97" s="2424"/>
      <c r="I97" s="2426"/>
      <c r="J97" s="2429"/>
      <c r="K97" s="2411"/>
      <c r="L97" s="2315"/>
      <c r="M97" s="2315"/>
      <c r="N97" s="2315"/>
      <c r="O97" s="2315"/>
      <c r="P97" s="2315"/>
      <c r="Q97" s="2315"/>
      <c r="R97" s="2315"/>
      <c r="S97" s="690"/>
      <c r="T97" s="690"/>
      <c r="U97" s="690"/>
      <c r="V97" s="690"/>
      <c r="W97" s="2316"/>
      <c r="X97" s="1632"/>
      <c r="Y97" s="1632"/>
      <c r="Z97" s="1632"/>
      <c r="AA97" s="1632"/>
      <c r="AB97" s="1632"/>
      <c r="AC97" s="1632"/>
      <c r="AD97" s="1632"/>
      <c r="AE97" s="1632"/>
      <c r="AF97" s="1632"/>
      <c r="AG97" s="1632"/>
      <c r="AH97" s="1632"/>
      <c r="AI97" s="1632"/>
      <c r="AJ97" s="1632"/>
      <c r="AK97" s="1632"/>
      <c r="AL97" s="1632"/>
      <c r="AM97" s="1632"/>
      <c r="AN97" s="1632"/>
      <c r="AO97" s="1632"/>
      <c r="AP97" s="1632"/>
      <c r="AQ97" s="1632"/>
    </row>
    <row s="31730" customFormat="1" customHeight="1" ht="17.25" hidden="1">
      <c r="A98" s="682"/>
      <c r="C98" s="681"/>
      <c r="D98" s="2417"/>
      <c r="E98" s="2419"/>
      <c r="F98" s="2422"/>
      <c r="G98" s="2419"/>
      <c r="H98" s="1665"/>
      <c r="I98" s="2313"/>
      <c r="J98" s="2313"/>
      <c r="K98" s="2313"/>
      <c r="L98" s="2313"/>
      <c r="M98" s="2313"/>
      <c r="N98" s="2313"/>
      <c r="O98" s="2313"/>
      <c r="P98" s="2313"/>
      <c r="Q98" s="2313"/>
      <c r="R98" s="2313"/>
      <c r="S98" s="1667"/>
      <c r="T98" s="1667"/>
      <c r="U98" s="1667"/>
      <c r="V98" s="1667"/>
      <c r="W98" s="2314"/>
      <c r="X98" s="1632"/>
      <c r="Y98" s="1632"/>
      <c r="Z98" s="1632"/>
      <c r="AA98" s="1632"/>
      <c r="AB98" s="1632"/>
      <c r="AC98" s="1632"/>
      <c r="AD98" s="1632"/>
      <c r="AE98" s="1632"/>
      <c r="AF98" s="1632"/>
      <c r="AG98" s="1632"/>
      <c r="AH98" s="1632"/>
      <c r="AI98" s="1632"/>
      <c r="AJ98" s="1632"/>
      <c r="AK98" s="1632"/>
      <c r="AL98" s="1632"/>
      <c r="AM98" s="1632"/>
      <c r="AN98" s="1632"/>
      <c r="AO98" s="1632"/>
      <c r="AP98" s="1632"/>
      <c r="AQ98" s="1632"/>
    </row>
    <row s="31730" customFormat="1" customHeight="1" ht="11.25" hidden="1">
      <c r="A99" s="638"/>
      <c r="B99" s="638"/>
      <c r="Y99" s="1625"/>
      <c r="Z99" s="1625"/>
      <c r="AA99" s="1625"/>
      <c r="AB99" s="1625"/>
      <c r="AC99" s="1625"/>
      <c r="AD99" s="1625"/>
      <c r="AE99" s="1625"/>
      <c r="AF99" s="1625"/>
      <c r="AG99" s="1625"/>
      <c r="AH99" s="1625"/>
      <c r="AI99" s="1625"/>
      <c r="AJ99" s="1625"/>
      <c r="AK99" s="1625"/>
      <c r="AL99" s="1625"/>
      <c r="AM99" s="1625"/>
      <c r="AN99" s="1625"/>
      <c r="AO99" s="1625"/>
      <c r="AP99" s="1625"/>
      <c r="AQ99" s="1625"/>
    </row>
    <row s="31730" customFormat="1" customHeight="1" ht="17.25">
      <c r="A100" s="682"/>
      <c r="C100" s="570"/>
      <c r="D100" s="2416">
        <v>1</v>
      </c>
      <c r="E100" s="2418" t="s">
        <v>253</v>
      </c>
      <c r="F100" s="2420" t="s">
        <v>66</v>
      </c>
      <c r="G100" s="5784" t="str">
        <f>INDEX(HOTVSNA_PT_VED_NAME,MATCH(4189706,HOTVSNA_PT_VED_ID,0))</f>
        <v>Горячее водоснабжение</v>
      </c>
      <c r="H100" s="5785"/>
      <c r="I100" s="5785">
        <v>1</v>
      </c>
      <c r="J100" s="5786" t="s">
        <v>254</v>
      </c>
      <c r="K100" s="5787" t="s">
        <v>66</v>
      </c>
      <c r="L100" s="5788"/>
      <c r="M100" s="5788" t="s">
        <v>118</v>
      </c>
      <c r="N100" s="5789" t="str">
        <f>IF(Z100="","",INDEX(TERRITORY_MR_LIST,MATCH(Z100,TERRITORY_LIST_ID,0)))</f>
        <v>Территория 1</v>
      </c>
      <c r="O100" s="5787" t="s">
        <v>66</v>
      </c>
      <c r="P100" s="5788"/>
      <c r="Q100" s="5788" t="s">
        <v>118</v>
      </c>
      <c r="R100" s="5790" t="s">
        <v>255</v>
      </c>
      <c r="S100" s="5791" t="s">
        <v>56</v>
      </c>
      <c r="T100" s="5791"/>
      <c r="U100" s="5791" t="s">
        <v>118</v>
      </c>
      <c r="V100" s="5792"/>
      <c r="W100" s="5786" t="s">
        <v>256</v>
      </c>
      <c r="Y100" s="1633"/>
      <c r="Z100" s="1633" t="s">
        <v>97</v>
      </c>
      <c r="AA100" s="1633"/>
      <c r="AB100" s="1633" t="s">
        <v>257</v>
      </c>
      <c r="AC100" s="1633" t="s">
        <v>258</v>
      </c>
      <c r="AD100" s="1633" t="s">
        <v>259</v>
      </c>
      <c r="AE100" s="1633" t="s">
        <v>260</v>
      </c>
      <c r="AF100" s="1633" t="s">
        <v>261</v>
      </c>
      <c r="AG100" s="1633"/>
      <c r="AH100" s="1633" t="str">
        <f>IF($E$100=0,"",$E$100)</f>
        <v>Тариф на горячую воду (горячее водоснабжение)</v>
      </c>
      <c r="AI100" s="1633" t="str">
        <f>IF($G$100=0,"",$G$100)</f>
        <v>Горячее водоснабжение</v>
      </c>
      <c r="AJ100" s="1633" t="str">
        <f>IF($J$100=0,"",$J$100)</f>
        <v>Тариф на горячую воду в закрытой системе горячего водоснабжения, поставляемую потребителям</v>
      </c>
      <c r="AK100" s="1633" t="str">
        <f>IF($K$100="нет","без дифференциации",IF($N$100=0,"",$N$100))</f>
        <v>Территория 1</v>
      </c>
      <c r="AL100" s="1633" t="str">
        <f>IF($O$100="нет","без дифференциации",IF($R$100=0,"",$R$100))</f>
        <v>н.п. Енский</v>
      </c>
      <c r="AM100" s="1633" t="str">
        <f>IF($S$100="нет","без дифференциации",IF($V$100=0,"",$V$100))</f>
        <v>без дифференциации</v>
      </c>
      <c r="AN100" s="1633">
        <f>$I$100</f>
        <v>1</v>
      </c>
      <c r="AO100" s="1633" t="str">
        <f>$I$100&amp;"."&amp;$M$100</f>
        <v>1.1</v>
      </c>
      <c r="AP100" s="1633" t="str">
        <f>$I$100&amp;"."&amp;$M$100&amp;"."&amp;$Q$100</f>
        <v>1.1.1</v>
      </c>
      <c r="AQ100" s="1633" t="str">
        <f>$I$100&amp;"."&amp;$M$100&amp;"."&amp;$Q$100&amp;"."&amp;$U$100</f>
        <v>1.1.1.1</v>
      </c>
    </row>
    <row s="31730" customFormat="1" customHeight="1" ht="17.25">
      <c r="A101" s="682"/>
      <c r="C101" s="681"/>
      <c r="D101" s="2416"/>
      <c r="E101" s="2418"/>
      <c r="F101" s="2421"/>
      <c r="G101" s="5784"/>
      <c r="H101" s="5785"/>
      <c r="I101" s="5785"/>
      <c r="J101" s="5786"/>
      <c r="K101" s="5793"/>
      <c r="L101" s="5788"/>
      <c r="M101" s="5788"/>
      <c r="N101" s="5789"/>
      <c r="O101" s="5793"/>
      <c r="P101" s="5788"/>
      <c r="Q101" s="5788"/>
      <c r="R101" s="5790"/>
      <c r="S101" s="5791"/>
      <c r="T101" s="5794"/>
      <c r="U101" s="5795"/>
      <c r="V101" s="5795"/>
      <c r="W101" s="5786"/>
      <c r="Y101" s="1625"/>
      <c r="Z101" s="1625"/>
      <c r="AA101" s="1625"/>
      <c r="AB101" s="1625"/>
      <c r="AC101" s="1625"/>
      <c r="AD101" s="1625"/>
      <c r="AE101" s="1625"/>
      <c r="AF101" s="1625"/>
      <c r="AG101" s="1625"/>
      <c r="AH101" s="1625"/>
      <c r="AI101" s="1625"/>
      <c r="AJ101" s="1625"/>
      <c r="AK101" s="1625"/>
      <c r="AL101" s="1625"/>
      <c r="AM101" s="1625"/>
      <c r="AN101" s="1625"/>
      <c r="AO101" s="1625"/>
      <c r="AP101" s="1625"/>
      <c r="AQ101" s="1625"/>
    </row>
    <row s="31730" customFormat="1" customHeight="1" ht="17.25">
      <c r="A102" s="682"/>
      <c r="C102" s="570"/>
      <c r="D102" s="2416"/>
      <c r="E102" s="2418"/>
      <c r="F102" s="2421"/>
      <c r="G102" s="5784"/>
      <c r="H102" s="5796"/>
      <c r="I102" s="5796"/>
      <c r="J102" s="5797"/>
      <c r="K102" s="5793"/>
      <c r="L102" s="5796"/>
      <c r="M102" s="5796"/>
      <c r="N102" s="5798"/>
      <c r="O102" s="5799"/>
      <c r="P102" s="5800"/>
      <c r="Q102" s="5801"/>
      <c r="R102" s="5802" t="s">
        <v>262</v>
      </c>
      <c r="S102" s="5803"/>
      <c r="T102" s="5804"/>
      <c r="U102" s="5805"/>
      <c r="V102" s="5806"/>
      <c r="W102" s="5807"/>
      <c r="Y102" s="1633"/>
      <c r="Z102" s="1633"/>
      <c r="AA102" s="1633"/>
      <c r="AB102" s="1633"/>
      <c r="AC102" s="1633"/>
      <c r="AD102" s="1633"/>
      <c r="AE102" s="1633"/>
      <c r="AF102" s="1633"/>
      <c r="AG102" s="1633"/>
      <c r="AH102" s="1633"/>
      <c r="AI102" s="1633"/>
      <c r="AJ102" s="1633"/>
      <c r="AK102" s="1633"/>
      <c r="AL102" s="1633"/>
      <c r="AM102" s="1633"/>
      <c r="AN102" s="1633"/>
      <c r="AO102" s="1633"/>
      <c r="AP102" s="1633"/>
      <c r="AQ102" s="1633"/>
    </row>
    <row customHeight="1" ht="17.25">
      <c r="A103" s="2206"/>
      <c r="B103" s="5809"/>
      <c r="C103" s="2208"/>
      <c r="D103" s="2196"/>
      <c r="E103" s="2213"/>
      <c r="F103" s="2150"/>
      <c r="G103" s="2214"/>
      <c r="H103" s="2196"/>
      <c r="I103" s="2196"/>
      <c r="J103" s="2218"/>
      <c r="K103" s="2214"/>
      <c r="L103" s="2403" t="s">
        <v>103</v>
      </c>
      <c r="M103" s="2403" t="s">
        <v>102</v>
      </c>
      <c r="N103" s="2808" t="str">
        <f>IF(Z103="","",INDEX(TERRITORY_MR_LIST,MATCH(Z103,TERRITORY_LIST_ID,0)))</f>
        <v>Территория 2</v>
      </c>
      <c r="O103" s="2465" t="s">
        <v>56</v>
      </c>
      <c r="P103" s="2403"/>
      <c r="Q103" s="2403" t="s">
        <v>118</v>
      </c>
      <c r="R103" s="5818" t="s">
        <v>24</v>
      </c>
      <c r="S103" s="2663" t="s">
        <v>56</v>
      </c>
      <c r="T103" s="2168"/>
      <c r="U103" s="2168" t="s">
        <v>118</v>
      </c>
      <c r="V103" s="1800"/>
      <c r="W103" s="2810" t="s">
        <v>256</v>
      </c>
      <c r="X103" s="5809"/>
      <c r="Y103" s="1633"/>
      <c r="Z103" s="1633" t="s">
        <v>104</v>
      </c>
      <c r="AA103" s="1633"/>
      <c r="AB103" s="1633"/>
      <c r="AC103" s="5823" t="s">
        <v>258</v>
      </c>
      <c r="AD103" s="5823" t="s">
        <v>259</v>
      </c>
      <c r="AE103" s="1633" t="s">
        <v>263</v>
      </c>
      <c r="AF103" s="1633" t="s">
        <v>264</v>
      </c>
      <c r="AG103" s="1633" t="s">
        <v>265</v>
      </c>
      <c r="AH103" s="1633" t="str">
        <f>IF($E$100=0,"",$E$100)</f>
        <v>Тариф на горячую воду (горячее водоснабжение)</v>
      </c>
      <c r="AI103" s="1633" t="str">
        <f>IF($G$100=0,"",$G$100)</f>
        <v>Горячее водоснабжение</v>
      </c>
      <c r="AJ103" s="1633" t="str">
        <f>IF($J$100=0,"",$J$100)</f>
        <v>Тариф на горячую воду в закрытой системе горячего водоснабжения, поставляемую потребителям</v>
      </c>
      <c r="AK103" s="1633" t="str">
        <f>IF($K$103="нет","без дифференциации",IF($N$103=0,"",$N$103))</f>
        <v>Территория 2</v>
      </c>
      <c r="AL103" s="2210" t="str">
        <f>IF($O$103="нет","без дифференциации",IF($R$103=0,"",$R$103))</f>
        <v>без дифференциации</v>
      </c>
      <c r="AM103" s="2210"/>
      <c r="AN103" s="1633">
        <f>$I$100</f>
        <v>1</v>
      </c>
      <c r="AO103" s="1633" t="str">
        <f>$I$100&amp;"."&amp;$M$103</f>
        <v>1.2</v>
      </c>
      <c r="AP103" s="1633" t="str">
        <f>$I$100&amp;"."&amp;$M$103&amp;"."&amp;$Q$103</f>
        <v>1.2.1</v>
      </c>
      <c r="AQ103" s="1633"/>
    </row>
    <row customHeight="1" ht="17.25">
      <c r="A104" s="2206"/>
      <c r="B104" s="5809"/>
      <c r="C104" s="2211"/>
      <c r="D104" s="2196"/>
      <c r="E104" s="2213"/>
      <c r="F104" s="2150"/>
      <c r="G104" s="2214"/>
      <c r="H104" s="2196"/>
      <c r="I104" s="2196"/>
      <c r="J104" s="2218"/>
      <c r="K104" s="2214"/>
      <c r="L104" s="2403"/>
      <c r="M104" s="2403"/>
      <c r="N104" s="2808"/>
      <c r="O104" s="2466"/>
      <c r="P104" s="2403"/>
      <c r="Q104" s="2403"/>
      <c r="R104" s="5818" t="s">
        <v>24</v>
      </c>
      <c r="S104" s="2663"/>
      <c r="T104" s="1801"/>
      <c r="U104" s="1802"/>
      <c r="V104" s="1802"/>
      <c r="W104" s="2810"/>
      <c r="X104" s="5809"/>
      <c r="Y104" s="1625"/>
      <c r="Z104" s="1625"/>
      <c r="AA104" s="1625"/>
      <c r="AB104" s="1625"/>
      <c r="AC104" s="1625"/>
      <c r="AD104" s="1625"/>
      <c r="AE104" s="1625"/>
      <c r="AF104" s="1625"/>
      <c r="AG104" s="1625"/>
      <c r="AH104" s="1625"/>
      <c r="AI104" s="1625"/>
      <c r="AJ104" s="1625"/>
      <c r="AK104" s="1625"/>
      <c r="AL104" s="5809"/>
      <c r="AM104" s="5809"/>
      <c r="AN104" s="5809"/>
      <c r="AO104" s="5809"/>
      <c r="AP104" s="5809"/>
      <c r="AQ104" s="5809"/>
    </row>
    <row customHeight="1" ht="17.25">
      <c r="A105" s="2206"/>
      <c r="B105" s="5809"/>
      <c r="C105" s="2211"/>
      <c r="D105" s="2196"/>
      <c r="E105" s="2213"/>
      <c r="F105" s="2150"/>
      <c r="G105" s="2214"/>
      <c r="H105" s="2196"/>
      <c r="I105" s="2196"/>
      <c r="J105" s="2218"/>
      <c r="K105" s="2214"/>
      <c r="L105" s="2785"/>
      <c r="M105" s="2785"/>
      <c r="N105" s="2809"/>
      <c r="O105" s="2407"/>
      <c r="P105" s="678"/>
      <c r="Q105" s="679"/>
      <c r="R105" s="679" t="s">
        <v>262</v>
      </c>
      <c r="S105" s="2212"/>
      <c r="T105" s="2212"/>
      <c r="U105" s="2212"/>
      <c r="V105" s="2212"/>
      <c r="W105" s="1799"/>
      <c r="X105" s="5809"/>
      <c r="Y105" s="1625"/>
      <c r="Z105" s="1625"/>
      <c r="AA105" s="1625"/>
      <c r="AB105" s="1625"/>
      <c r="AC105" s="1625"/>
      <c r="AD105" s="1625"/>
      <c r="AE105" s="1625"/>
      <c r="AF105" s="1625"/>
      <c r="AG105" s="1625"/>
      <c r="AH105" s="1625"/>
      <c r="AI105" s="1625"/>
      <c r="AJ105" s="1625"/>
      <c r="AK105" s="1625"/>
      <c r="AL105" s="5809"/>
      <c r="AM105" s="5809"/>
      <c r="AN105" s="5809"/>
      <c r="AO105" s="5809"/>
      <c r="AP105" s="5809"/>
      <c r="AQ105" s="5809"/>
    </row>
    <row customHeight="1" ht="17.25">
      <c r="A106" s="2206"/>
      <c r="B106" s="5809"/>
      <c r="C106" s="2208"/>
      <c r="D106" s="2196"/>
      <c r="E106" s="2213"/>
      <c r="F106" s="2150"/>
      <c r="G106" s="2214"/>
      <c r="H106" s="2196"/>
      <c r="I106" s="2196"/>
      <c r="J106" s="2218"/>
      <c r="K106" s="2214"/>
      <c r="L106" s="2403" t="s">
        <v>103</v>
      </c>
      <c r="M106" s="2403" t="s">
        <v>89</v>
      </c>
      <c r="N106" s="2808" t="str">
        <f>IF(Z106="","",INDEX(TERRITORY_MR_LIST,MATCH(Z106,TERRITORY_LIST_ID,0)))</f>
        <v>Территория 3</v>
      </c>
      <c r="O106" s="2465" t="s">
        <v>66</v>
      </c>
      <c r="P106" s="2403"/>
      <c r="Q106" s="2403" t="s">
        <v>118</v>
      </c>
      <c r="R106" s="2789" t="s">
        <v>266</v>
      </c>
      <c r="S106" s="2663" t="s">
        <v>56</v>
      </c>
      <c r="T106" s="2168"/>
      <c r="U106" s="2168" t="s">
        <v>118</v>
      </c>
      <c r="V106" s="1800"/>
      <c r="W106" s="2810" t="s">
        <v>256</v>
      </c>
      <c r="X106" s="5809"/>
      <c r="Y106" s="1633"/>
      <c r="Z106" s="1633" t="s">
        <v>109</v>
      </c>
      <c r="AA106" s="1633"/>
      <c r="AB106" s="1633"/>
      <c r="AC106" s="5823" t="s">
        <v>258</v>
      </c>
      <c r="AD106" s="5823" t="s">
        <v>259</v>
      </c>
      <c r="AE106" s="1633" t="s">
        <v>267</v>
      </c>
      <c r="AF106" s="1633" t="s">
        <v>268</v>
      </c>
      <c r="AG106" s="1633" t="s">
        <v>269</v>
      </c>
      <c r="AH106" s="1633" t="str">
        <f>IF($E$100=0,"",$E$100)</f>
        <v>Тариф на горячую воду (горячее водоснабжение)</v>
      </c>
      <c r="AI106" s="1633" t="str">
        <f>IF($G$100=0,"",$G$100)</f>
        <v>Горячее водоснабжение</v>
      </c>
      <c r="AJ106" s="1633" t="str">
        <f>IF($J$100=0,"",$J$100)</f>
        <v>Тариф на горячую воду в закрытой системе горячего водоснабжения, поставляемую потребителям</v>
      </c>
      <c r="AK106" s="1633" t="str">
        <f>IF($K$106="нет","без дифференциации",IF($N$106=0,"",$N$106))</f>
        <v>Территория 3</v>
      </c>
      <c r="AL106" s="2210" t="str">
        <f>IF($O$106="нет","без дифференциации",IF($R$106=0,"",$R$106))</f>
        <v>н.п. Белое море</v>
      </c>
      <c r="AM106" s="2210"/>
      <c r="AN106" s="1633">
        <f>$I$100</f>
        <v>1</v>
      </c>
      <c r="AO106" s="1633" t="str">
        <f>$I$100&amp;"."&amp;$M$106</f>
        <v>1.3</v>
      </c>
      <c r="AP106" s="1633" t="str">
        <f>$I$100&amp;"."&amp;$M$106&amp;"."&amp;$Q$106</f>
        <v>1.3.1</v>
      </c>
      <c r="AQ106" s="1633"/>
    </row>
    <row customHeight="1" ht="17.25">
      <c r="A107" s="2206"/>
      <c r="B107" s="5809"/>
      <c r="C107" s="2211"/>
      <c r="D107" s="2196"/>
      <c r="E107" s="2213"/>
      <c r="F107" s="2150"/>
      <c r="G107" s="2214"/>
      <c r="H107" s="2196"/>
      <c r="I107" s="2196"/>
      <c r="J107" s="2218"/>
      <c r="K107" s="2214"/>
      <c r="L107" s="2403"/>
      <c r="M107" s="2403"/>
      <c r="N107" s="2808"/>
      <c r="O107" s="2466"/>
      <c r="P107" s="2403"/>
      <c r="Q107" s="2403"/>
      <c r="R107" s="2789"/>
      <c r="S107" s="2663"/>
      <c r="T107" s="1801"/>
      <c r="U107" s="1802"/>
      <c r="V107" s="1802"/>
      <c r="W107" s="2810"/>
      <c r="X107" s="5809"/>
      <c r="Y107" s="1625"/>
      <c r="Z107" s="1625"/>
      <c r="AA107" s="1625"/>
      <c r="AB107" s="1625"/>
      <c r="AC107" s="1625"/>
      <c r="AD107" s="1625"/>
      <c r="AE107" s="1625"/>
      <c r="AF107" s="1625"/>
      <c r="AG107" s="1625"/>
      <c r="AH107" s="1625"/>
      <c r="AI107" s="1625"/>
      <c r="AJ107" s="1625"/>
      <c r="AK107" s="1625"/>
      <c r="AL107" s="5809"/>
      <c r="AM107" s="5809"/>
      <c r="AN107" s="5809"/>
      <c r="AO107" s="5809"/>
      <c r="AP107" s="5809"/>
      <c r="AQ107" s="5809"/>
    </row>
    <row customHeight="1" ht="17.25">
      <c r="A108" s="2206"/>
      <c r="B108" s="5809"/>
      <c r="C108" s="2211"/>
      <c r="D108" s="2196"/>
      <c r="E108" s="2213"/>
      <c r="F108" s="2150"/>
      <c r="G108" s="2214"/>
      <c r="H108" s="2196"/>
      <c r="I108" s="2196"/>
      <c r="J108" s="2218"/>
      <c r="K108" s="2214"/>
      <c r="L108" s="2785"/>
      <c r="M108" s="2785"/>
      <c r="N108" s="2809"/>
      <c r="O108" s="2407"/>
      <c r="P108" s="678"/>
      <c r="Q108" s="679"/>
      <c r="R108" s="679" t="s">
        <v>262</v>
      </c>
      <c r="S108" s="2212"/>
      <c r="T108" s="2212"/>
      <c r="U108" s="2212"/>
      <c r="V108" s="2212"/>
      <c r="W108" s="1799"/>
      <c r="X108" s="5809"/>
      <c r="Y108" s="1625"/>
      <c r="Z108" s="1625"/>
      <c r="AA108" s="1625"/>
      <c r="AB108" s="1625"/>
      <c r="AC108" s="1625"/>
      <c r="AD108" s="1625"/>
      <c r="AE108" s="1625"/>
      <c r="AF108" s="1625"/>
      <c r="AG108" s="1625"/>
      <c r="AH108" s="1625"/>
      <c r="AI108" s="1625"/>
      <c r="AJ108" s="1625"/>
      <c r="AK108" s="1625"/>
      <c r="AL108" s="5809"/>
      <c r="AM108" s="5809"/>
      <c r="AN108" s="5809"/>
      <c r="AO108" s="5809"/>
      <c r="AP108" s="5809"/>
      <c r="AQ108" s="5809"/>
    </row>
    <row s="31730" customFormat="1" customHeight="1" ht="17.25">
      <c r="A109" s="682"/>
      <c r="C109" s="681"/>
      <c r="D109" s="2416"/>
      <c r="E109" s="2418"/>
      <c r="F109" s="2421"/>
      <c r="G109" s="5784"/>
      <c r="H109" s="5796"/>
      <c r="I109" s="5796"/>
      <c r="J109" s="5797"/>
      <c r="K109" s="5799"/>
      <c r="L109" s="5836"/>
      <c r="M109" s="5837"/>
      <c r="N109" s="5838" t="s">
        <v>270</v>
      </c>
      <c r="O109" s="5839"/>
      <c r="P109" s="5840"/>
      <c r="Q109" s="5841"/>
      <c r="R109" s="5842"/>
      <c r="S109" s="5843"/>
      <c r="T109" s="5844"/>
      <c r="U109" s="5845"/>
      <c r="V109" s="5846"/>
      <c r="W109" s="5847"/>
      <c r="Y109" s="1625"/>
      <c r="Z109" s="1625"/>
      <c r="AA109" s="1625"/>
      <c r="AB109" s="1625"/>
      <c r="AC109" s="1625"/>
      <c r="AD109" s="1625"/>
      <c r="AE109" s="1625"/>
      <c r="AF109" s="1625"/>
      <c r="AG109" s="1625"/>
      <c r="AH109" s="1625"/>
      <c r="AI109" s="1625"/>
      <c r="AJ109" s="1625"/>
      <c r="AK109" s="1625"/>
      <c r="AL109" s="1625"/>
      <c r="AM109" s="1625"/>
      <c r="AN109" s="1625"/>
      <c r="AO109" s="1625"/>
      <c r="AP109" s="1625"/>
      <c r="AQ109" s="1625"/>
    </row>
    <row customHeight="1" ht="17.25">
      <c r="A110" s="2206"/>
      <c r="B110" s="5809"/>
      <c r="C110" s="2208"/>
      <c r="D110" s="2196"/>
      <c r="E110" s="2213"/>
      <c r="F110" s="2150"/>
      <c r="G110" s="2214"/>
      <c r="H110" s="2784" t="s">
        <v>103</v>
      </c>
      <c r="I110" s="2784" t="s">
        <v>102</v>
      </c>
      <c r="J110" s="2810" t="s">
        <v>271</v>
      </c>
      <c r="K110" s="2465" t="s">
        <v>66</v>
      </c>
      <c r="L110" s="2403"/>
      <c r="M110" s="2403" t="s">
        <v>118</v>
      </c>
      <c r="N110" s="2808" t="str">
        <f>IF(Z110="","",INDEX(TERRITORY_MR_LIST,MATCH(Z110,TERRITORY_LIST_ID,0)))</f>
        <v>Территория 1</v>
      </c>
      <c r="O110" s="2465" t="s">
        <v>66</v>
      </c>
      <c r="P110" s="2403"/>
      <c r="Q110" s="2403" t="s">
        <v>118</v>
      </c>
      <c r="R110" s="2789" t="s">
        <v>255</v>
      </c>
      <c r="S110" s="2663" t="s">
        <v>56</v>
      </c>
      <c r="T110" s="2168"/>
      <c r="U110" s="2168" t="s">
        <v>118</v>
      </c>
      <c r="V110" s="1800"/>
      <c r="W110" s="2810" t="s">
        <v>272</v>
      </c>
      <c r="X110" s="5809"/>
      <c r="Y110" s="1633"/>
      <c r="Z110" s="1633" t="s">
        <v>97</v>
      </c>
      <c r="AA110" s="1633"/>
      <c r="AB110" s="1633"/>
      <c r="AC110" s="5823" t="s">
        <v>258</v>
      </c>
      <c r="AD110" s="1633" t="s">
        <v>273</v>
      </c>
      <c r="AE110" s="1633" t="s">
        <v>274</v>
      </c>
      <c r="AF110" s="1633" t="s">
        <v>275</v>
      </c>
      <c r="AG110" s="1633" t="s">
        <v>276</v>
      </c>
      <c r="AH110" s="1633" t="str">
        <f>IF($E$100=0,"",$E$100)</f>
        <v>Тариф на горячую воду (горячее водоснабжение)</v>
      </c>
      <c r="AI110" s="1633" t="str">
        <f>IF($G$100=0,"",$G$100)</f>
        <v>Горячее водоснабжение</v>
      </c>
      <c r="AJ110" s="1633" t="str">
        <f>IF($J$110=0,"",$J$110)</f>
        <v>Тариф на горячую воду в закрытой системе горячего водоснабжения, поставляемую группе потребителей "население"</v>
      </c>
      <c r="AK110" s="1633" t="str">
        <f>IF($K$110="нет","без дифференциации",IF($N$110=0,"",$N$110))</f>
        <v>Территория 1</v>
      </c>
      <c r="AL110" s="2210" t="str">
        <f>IF($O$110="нет","без дифференциации",IF($R$110=0,"",$R$110))</f>
        <v>н.п. Енский</v>
      </c>
      <c r="AM110" s="2210"/>
      <c r="AN110" s="1633" t="str">
        <f>$I$110</f>
        <v>2</v>
      </c>
      <c r="AO110" s="1633" t="str">
        <f>$I$110&amp;"."&amp;$M$110</f>
        <v>2.1</v>
      </c>
      <c r="AP110" s="1633" t="str">
        <f>$I$110&amp;"."&amp;$M$110&amp;"."&amp;$Q$110</f>
        <v>2.1.1</v>
      </c>
      <c r="AQ110" s="1633"/>
    </row>
    <row customHeight="1" ht="17.25">
      <c r="A111" s="2206"/>
      <c r="B111" s="5809"/>
      <c r="C111" s="2211"/>
      <c r="D111" s="2196"/>
      <c r="E111" s="2213"/>
      <c r="F111" s="2150"/>
      <c r="G111" s="2214"/>
      <c r="H111" s="2784"/>
      <c r="I111" s="2784"/>
      <c r="J111" s="2810"/>
      <c r="K111" s="2466"/>
      <c r="L111" s="2403"/>
      <c r="M111" s="2403"/>
      <c r="N111" s="2808"/>
      <c r="O111" s="2466"/>
      <c r="P111" s="2403"/>
      <c r="Q111" s="2403"/>
      <c r="R111" s="2789"/>
      <c r="S111" s="2663"/>
      <c r="T111" s="1801"/>
      <c r="U111" s="1802"/>
      <c r="V111" s="1802"/>
      <c r="W111" s="2810"/>
      <c r="X111" s="5809"/>
      <c r="Y111" s="1625"/>
      <c r="Z111" s="1625"/>
      <c r="AA111" s="1625"/>
      <c r="AB111" s="1625"/>
      <c r="AC111" s="1625"/>
      <c r="AD111" s="1625"/>
      <c r="AE111" s="1625"/>
      <c r="AF111" s="1625"/>
      <c r="AG111" s="1625"/>
      <c r="AH111" s="1625"/>
      <c r="AI111" s="1625"/>
      <c r="AJ111" s="1625"/>
      <c r="AK111" s="1625"/>
      <c r="AL111" s="5809"/>
      <c r="AM111" s="5809"/>
      <c r="AN111" s="5809"/>
      <c r="AO111" s="5809"/>
      <c r="AP111" s="5809"/>
      <c r="AQ111" s="5809"/>
    </row>
    <row customHeight="1" ht="17.25">
      <c r="A112" s="2206"/>
      <c r="B112" s="5809"/>
      <c r="C112" s="2211"/>
      <c r="D112" s="2196"/>
      <c r="E112" s="2213"/>
      <c r="F112" s="2150"/>
      <c r="G112" s="2214"/>
      <c r="H112" s="2785"/>
      <c r="I112" s="2785"/>
      <c r="J112" s="2811"/>
      <c r="K112" s="2466"/>
      <c r="L112" s="2785"/>
      <c r="M112" s="2785"/>
      <c r="N112" s="2809"/>
      <c r="O112" s="2407"/>
      <c r="P112" s="678"/>
      <c r="Q112" s="679"/>
      <c r="R112" s="679" t="s">
        <v>262</v>
      </c>
      <c r="S112" s="2212"/>
      <c r="T112" s="2212"/>
      <c r="U112" s="2212"/>
      <c r="V112" s="2212"/>
      <c r="W112" s="1799"/>
      <c r="X112" s="5809"/>
      <c r="Y112" s="1625"/>
      <c r="Z112" s="1625"/>
      <c r="AA112" s="1625"/>
      <c r="AB112" s="1625"/>
      <c r="AC112" s="1625"/>
      <c r="AD112" s="1625"/>
      <c r="AE112" s="1625"/>
      <c r="AF112" s="1625"/>
      <c r="AG112" s="1625"/>
      <c r="AH112" s="1625"/>
      <c r="AI112" s="1625"/>
      <c r="AJ112" s="1625"/>
      <c r="AK112" s="1625"/>
      <c r="AL112" s="5809"/>
      <c r="AM112" s="5809"/>
      <c r="AN112" s="5809"/>
      <c r="AO112" s="5809"/>
      <c r="AP112" s="5809"/>
      <c r="AQ112" s="5809"/>
    </row>
    <row customHeight="1" ht="17.25">
      <c r="A113" s="2206"/>
      <c r="B113" s="5809"/>
      <c r="C113" s="2208"/>
      <c r="D113" s="2196"/>
      <c r="E113" s="2213"/>
      <c r="F113" s="2150"/>
      <c r="G113" s="2214"/>
      <c r="H113" s="2196"/>
      <c r="I113" s="2196"/>
      <c r="J113" s="2218"/>
      <c r="K113" s="2214"/>
      <c r="L113" s="2403" t="s">
        <v>103</v>
      </c>
      <c r="M113" s="2403" t="s">
        <v>102</v>
      </c>
      <c r="N113" s="2808" t="str">
        <f>IF(Z113="","",INDEX(TERRITORY_MR_LIST,MATCH(Z113,TERRITORY_LIST_ID,0)))</f>
        <v>Территория 2</v>
      </c>
      <c r="O113" s="2465" t="s">
        <v>56</v>
      </c>
      <c r="P113" s="2403"/>
      <c r="Q113" s="2403" t="s">
        <v>118</v>
      </c>
      <c r="R113" s="5818" t="s">
        <v>24</v>
      </c>
      <c r="S113" s="2663" t="s">
        <v>56</v>
      </c>
      <c r="T113" s="2168"/>
      <c r="U113" s="2168" t="s">
        <v>118</v>
      </c>
      <c r="V113" s="1800"/>
      <c r="W113" s="2810" t="s">
        <v>272</v>
      </c>
      <c r="X113" s="5809"/>
      <c r="Y113" s="1633"/>
      <c r="Z113" s="1633" t="s">
        <v>104</v>
      </c>
      <c r="AA113" s="1633"/>
      <c r="AB113" s="1633"/>
      <c r="AC113" s="5823" t="s">
        <v>258</v>
      </c>
      <c r="AD113" s="5823" t="s">
        <v>273</v>
      </c>
      <c r="AE113" s="1633" t="s">
        <v>277</v>
      </c>
      <c r="AF113" s="1633" t="s">
        <v>278</v>
      </c>
      <c r="AG113" s="1633" t="s">
        <v>279</v>
      </c>
      <c r="AH113" s="1633" t="str">
        <f>IF($E$100=0,"",$E$100)</f>
        <v>Тариф на горячую воду (горячее водоснабжение)</v>
      </c>
      <c r="AI113" s="1633" t="str">
        <f>IF($G$100=0,"",$G$100)</f>
        <v>Горячее водоснабжение</v>
      </c>
      <c r="AJ113" s="1633" t="str">
        <f>IF($J$110=0,"",$J$110)</f>
        <v>Тариф на горячую воду в закрытой системе горячего водоснабжения, поставляемую группе потребителей "население"</v>
      </c>
      <c r="AK113" s="1633" t="str">
        <f>IF($K$113="нет","без дифференциации",IF($N$113=0,"",$N$113))</f>
        <v>Территория 2</v>
      </c>
      <c r="AL113" s="2210" t="str">
        <f>IF($O$113="нет","без дифференциации",IF($R$113=0,"",$R$113))</f>
        <v>без дифференциации</v>
      </c>
      <c r="AM113" s="2210"/>
      <c r="AN113" s="1633" t="str">
        <f>$I$110</f>
        <v>2</v>
      </c>
      <c r="AO113" s="1633" t="str">
        <f>$I$110&amp;"."&amp;$M$113</f>
        <v>2.2</v>
      </c>
      <c r="AP113" s="1633" t="str">
        <f>$I$110&amp;"."&amp;$M$113&amp;"."&amp;$Q$113</f>
        <v>2.2.1</v>
      </c>
      <c r="AQ113" s="1633"/>
    </row>
    <row customHeight="1" ht="17.25">
      <c r="A114" s="2206"/>
      <c r="B114" s="5809"/>
      <c r="C114" s="2211"/>
      <c r="D114" s="2196"/>
      <c r="E114" s="2213"/>
      <c r="F114" s="2150"/>
      <c r="G114" s="2214"/>
      <c r="H114" s="2196"/>
      <c r="I114" s="2196"/>
      <c r="J114" s="2218"/>
      <c r="K114" s="2214"/>
      <c r="L114" s="2403"/>
      <c r="M114" s="2403"/>
      <c r="N114" s="2808"/>
      <c r="O114" s="2466"/>
      <c r="P114" s="2403"/>
      <c r="Q114" s="2403"/>
      <c r="R114" s="5818" t="s">
        <v>24</v>
      </c>
      <c r="S114" s="2663"/>
      <c r="T114" s="1801"/>
      <c r="U114" s="1802"/>
      <c r="V114" s="1802"/>
      <c r="W114" s="2810"/>
      <c r="X114" s="5809"/>
      <c r="Y114" s="1625"/>
      <c r="Z114" s="1625"/>
      <c r="AA114" s="1625"/>
      <c r="AB114" s="1625"/>
      <c r="AC114" s="1625"/>
      <c r="AD114" s="1625"/>
      <c r="AE114" s="1625"/>
      <c r="AF114" s="1625"/>
      <c r="AG114" s="1625"/>
      <c r="AH114" s="1625"/>
      <c r="AI114" s="1625"/>
      <c r="AJ114" s="1625"/>
      <c r="AK114" s="1625"/>
      <c r="AL114" s="5809"/>
      <c r="AM114" s="5809"/>
      <c r="AN114" s="5809"/>
      <c r="AO114" s="5809"/>
      <c r="AP114" s="5809"/>
      <c r="AQ114" s="5809"/>
    </row>
    <row customHeight="1" ht="17.25">
      <c r="A115" s="2206"/>
      <c r="B115" s="5809"/>
      <c r="C115" s="2211"/>
      <c r="D115" s="2196"/>
      <c r="E115" s="2213"/>
      <c r="F115" s="2150"/>
      <c r="G115" s="2214"/>
      <c r="H115" s="2196"/>
      <c r="I115" s="2196"/>
      <c r="J115" s="2218"/>
      <c r="K115" s="2214"/>
      <c r="L115" s="2785"/>
      <c r="M115" s="2785"/>
      <c r="N115" s="2809"/>
      <c r="O115" s="2407"/>
      <c r="P115" s="678"/>
      <c r="Q115" s="679"/>
      <c r="R115" s="679" t="s">
        <v>262</v>
      </c>
      <c r="S115" s="2212"/>
      <c r="T115" s="2212"/>
      <c r="U115" s="2212"/>
      <c r="V115" s="2212"/>
      <c r="W115" s="1799"/>
      <c r="X115" s="5809"/>
      <c r="Y115" s="1625"/>
      <c r="Z115" s="1625"/>
      <c r="AA115" s="1625"/>
      <c r="AB115" s="1625"/>
      <c r="AC115" s="1625"/>
      <c r="AD115" s="1625"/>
      <c r="AE115" s="1625"/>
      <c r="AF115" s="1625"/>
      <c r="AG115" s="1625"/>
      <c r="AH115" s="1625"/>
      <c r="AI115" s="1625"/>
      <c r="AJ115" s="1625"/>
      <c r="AK115" s="1625"/>
      <c r="AL115" s="5809"/>
      <c r="AM115" s="5809"/>
      <c r="AN115" s="5809"/>
      <c r="AO115" s="5809"/>
      <c r="AP115" s="5809"/>
      <c r="AQ115" s="5809"/>
    </row>
    <row customHeight="1" ht="17.25">
      <c r="A116" s="2206"/>
      <c r="B116" s="5809"/>
      <c r="C116" s="2208"/>
      <c r="D116" s="2196"/>
      <c r="E116" s="2213"/>
      <c r="F116" s="2150"/>
      <c r="G116" s="2214"/>
      <c r="H116" s="2196"/>
      <c r="I116" s="2196"/>
      <c r="J116" s="2218"/>
      <c r="K116" s="2214"/>
      <c r="L116" s="2403" t="s">
        <v>103</v>
      </c>
      <c r="M116" s="2403" t="s">
        <v>89</v>
      </c>
      <c r="N116" s="2808" t="str">
        <f>IF(Z116="","",INDEX(TERRITORY_MR_LIST,MATCH(Z116,TERRITORY_LIST_ID,0)))</f>
        <v>Территория 3</v>
      </c>
      <c r="O116" s="2465" t="s">
        <v>66</v>
      </c>
      <c r="P116" s="2403"/>
      <c r="Q116" s="2403" t="s">
        <v>118</v>
      </c>
      <c r="R116" s="2789" t="s">
        <v>266</v>
      </c>
      <c r="S116" s="2663" t="s">
        <v>56</v>
      </c>
      <c r="T116" s="2168"/>
      <c r="U116" s="2168" t="s">
        <v>118</v>
      </c>
      <c r="V116" s="1800"/>
      <c r="W116" s="2810" t="s">
        <v>272</v>
      </c>
      <c r="X116" s="5809"/>
      <c r="Y116" s="1633"/>
      <c r="Z116" s="1633" t="s">
        <v>109</v>
      </c>
      <c r="AA116" s="1633"/>
      <c r="AB116" s="1633"/>
      <c r="AC116" s="5823" t="s">
        <v>258</v>
      </c>
      <c r="AD116" s="5823" t="s">
        <v>273</v>
      </c>
      <c r="AE116" s="1633" t="s">
        <v>280</v>
      </c>
      <c r="AF116" s="1633" t="s">
        <v>281</v>
      </c>
      <c r="AG116" s="1633" t="s">
        <v>282</v>
      </c>
      <c r="AH116" s="1633" t="str">
        <f>IF($E$100=0,"",$E$100)</f>
        <v>Тариф на горячую воду (горячее водоснабжение)</v>
      </c>
      <c r="AI116" s="1633" t="str">
        <f>IF($G$100=0,"",$G$100)</f>
        <v>Горячее водоснабжение</v>
      </c>
      <c r="AJ116" s="1633" t="str">
        <f>IF($J$110=0,"",$J$110)</f>
        <v>Тариф на горячую воду в закрытой системе горячего водоснабжения, поставляемую группе потребителей "население"</v>
      </c>
      <c r="AK116" s="1633" t="str">
        <f>IF($K$116="нет","без дифференциации",IF($N$116=0,"",$N$116))</f>
        <v>Территория 3</v>
      </c>
      <c r="AL116" s="2210" t="str">
        <f>IF($O$116="нет","без дифференциации",IF($R$116=0,"",$R$116))</f>
        <v>н.п. Белое море</v>
      </c>
      <c r="AM116" s="2210"/>
      <c r="AN116" s="1633" t="str">
        <f>$I$110</f>
        <v>2</v>
      </c>
      <c r="AO116" s="1633" t="str">
        <f>$I$110&amp;"."&amp;$M$116</f>
        <v>2.3</v>
      </c>
      <c r="AP116" s="1633" t="str">
        <f>$I$110&amp;"."&amp;$M$116&amp;"."&amp;$Q$116</f>
        <v>2.3.1</v>
      </c>
      <c r="AQ116" s="1633"/>
    </row>
    <row customHeight="1" ht="17.25">
      <c r="A117" s="2206"/>
      <c r="B117" s="5809"/>
      <c r="C117" s="2211"/>
      <c r="D117" s="2196"/>
      <c r="E117" s="2213"/>
      <c r="F117" s="2150"/>
      <c r="G117" s="2214"/>
      <c r="H117" s="2196"/>
      <c r="I117" s="2196"/>
      <c r="J117" s="2218"/>
      <c r="K117" s="2214"/>
      <c r="L117" s="2403"/>
      <c r="M117" s="2403"/>
      <c r="N117" s="2808"/>
      <c r="O117" s="2466"/>
      <c r="P117" s="2403"/>
      <c r="Q117" s="2403"/>
      <c r="R117" s="2789"/>
      <c r="S117" s="2663"/>
      <c r="T117" s="1801"/>
      <c r="U117" s="1802"/>
      <c r="V117" s="1802"/>
      <c r="W117" s="2810"/>
      <c r="X117" s="5809"/>
      <c r="Y117" s="1625"/>
      <c r="Z117" s="1625"/>
      <c r="AA117" s="1625"/>
      <c r="AB117" s="1625"/>
      <c r="AC117" s="1625"/>
      <c r="AD117" s="1625"/>
      <c r="AE117" s="1625"/>
      <c r="AF117" s="1625"/>
      <c r="AG117" s="1625"/>
      <c r="AH117" s="1625"/>
      <c r="AI117" s="1625"/>
      <c r="AJ117" s="1625"/>
      <c r="AK117" s="1625"/>
      <c r="AL117" s="5809"/>
      <c r="AM117" s="5809"/>
      <c r="AN117" s="5809"/>
      <c r="AO117" s="5809"/>
      <c r="AP117" s="5809"/>
      <c r="AQ117" s="5809"/>
    </row>
    <row customHeight="1" ht="17.25">
      <c r="A118" s="2206"/>
      <c r="B118" s="5809"/>
      <c r="C118" s="2211"/>
      <c r="D118" s="2196"/>
      <c r="E118" s="2213"/>
      <c r="F118" s="2150"/>
      <c r="G118" s="2214"/>
      <c r="H118" s="2196"/>
      <c r="I118" s="2196"/>
      <c r="J118" s="2218"/>
      <c r="K118" s="2214"/>
      <c r="L118" s="2785"/>
      <c r="M118" s="2785"/>
      <c r="N118" s="2809"/>
      <c r="O118" s="2407"/>
      <c r="P118" s="678"/>
      <c r="Q118" s="679"/>
      <c r="R118" s="679" t="s">
        <v>262</v>
      </c>
      <c r="S118" s="2212"/>
      <c r="T118" s="2212"/>
      <c r="U118" s="2212"/>
      <c r="V118" s="2212"/>
      <c r="W118" s="1799"/>
      <c r="X118" s="5809"/>
      <c r="Y118" s="1625"/>
      <c r="Z118" s="1625"/>
      <c r="AA118" s="1625"/>
      <c r="AB118" s="1625"/>
      <c r="AC118" s="1625"/>
      <c r="AD118" s="1625"/>
      <c r="AE118" s="1625"/>
      <c r="AF118" s="1625"/>
      <c r="AG118" s="1625"/>
      <c r="AH118" s="1625"/>
      <c r="AI118" s="1625"/>
      <c r="AJ118" s="1625"/>
      <c r="AK118" s="1625"/>
      <c r="AL118" s="5809"/>
      <c r="AM118" s="5809"/>
      <c r="AN118" s="5809"/>
      <c r="AO118" s="5809"/>
      <c r="AP118" s="5809"/>
      <c r="AQ118" s="5809"/>
    </row>
    <row customHeight="1" ht="17.25">
      <c r="A119" s="2206"/>
      <c r="B119" s="5809"/>
      <c r="C119" s="2211"/>
      <c r="D119" s="2196"/>
      <c r="E119" s="2213"/>
      <c r="F119" s="2150"/>
      <c r="G119" s="2214"/>
      <c r="H119" s="2785"/>
      <c r="I119" s="2785"/>
      <c r="J119" s="2811"/>
      <c r="K119" s="2407"/>
      <c r="L119" s="678"/>
      <c r="M119" s="679"/>
      <c r="N119" s="679" t="s">
        <v>270</v>
      </c>
      <c r="O119" s="679"/>
      <c r="P119" s="679"/>
      <c r="Q119" s="679"/>
      <c r="R119" s="679"/>
      <c r="S119" s="2212"/>
      <c r="T119" s="2212"/>
      <c r="U119" s="2212"/>
      <c r="V119" s="2212"/>
      <c r="W119" s="680"/>
      <c r="X119" s="5809"/>
      <c r="Y119" s="1625"/>
      <c r="Z119" s="1625"/>
      <c r="AA119" s="1625"/>
      <c r="AB119" s="1625"/>
      <c r="AC119" s="1625"/>
      <c r="AD119" s="1625"/>
      <c r="AE119" s="1625"/>
      <c r="AF119" s="1625"/>
      <c r="AG119" s="1625"/>
      <c r="AH119" s="1625"/>
      <c r="AI119" s="1625"/>
      <c r="AJ119" s="1625"/>
      <c r="AK119" s="1625"/>
      <c r="AL119" s="5809"/>
      <c r="AM119" s="5809"/>
      <c r="AN119" s="5809"/>
      <c r="AO119" s="5809"/>
      <c r="AP119" s="5809"/>
      <c r="AQ119" s="5809"/>
    </row>
    <row customHeight="1" ht="17.25">
      <c r="A120" s="2206"/>
      <c r="B120" s="5809"/>
      <c r="C120" s="2208"/>
      <c r="D120" s="2196"/>
      <c r="E120" s="2213"/>
      <c r="F120" s="2150"/>
      <c r="G120" s="2214"/>
      <c r="H120" s="2784" t="s">
        <v>103</v>
      </c>
      <c r="I120" s="2784" t="s">
        <v>89</v>
      </c>
      <c r="J120" s="2810" t="s">
        <v>283</v>
      </c>
      <c r="K120" s="2465" t="s">
        <v>66</v>
      </c>
      <c r="L120" s="2403"/>
      <c r="M120" s="2403" t="s">
        <v>118</v>
      </c>
      <c r="N120" s="2808" t="str">
        <f>IF(Z120="","",INDEX(TERRITORY_MR_LIST,MATCH(Z120,TERRITORY_LIST_ID,0)))</f>
        <v>Территория 1</v>
      </c>
      <c r="O120" s="2465" t="s">
        <v>66</v>
      </c>
      <c r="P120" s="2403"/>
      <c r="Q120" s="2403" t="s">
        <v>118</v>
      </c>
      <c r="R120" s="2789" t="s">
        <v>255</v>
      </c>
      <c r="S120" s="2663" t="s">
        <v>56</v>
      </c>
      <c r="T120" s="2168"/>
      <c r="U120" s="2168" t="s">
        <v>118</v>
      </c>
      <c r="V120" s="1800"/>
      <c r="W120" s="2810" t="s">
        <v>256</v>
      </c>
      <c r="X120" s="5809"/>
      <c r="Y120" s="1633"/>
      <c r="Z120" s="1633" t="s">
        <v>97</v>
      </c>
      <c r="AA120" s="1633"/>
      <c r="AB120" s="1633"/>
      <c r="AC120" s="5823" t="s">
        <v>258</v>
      </c>
      <c r="AD120" s="1633" t="s">
        <v>284</v>
      </c>
      <c r="AE120" s="1633" t="s">
        <v>285</v>
      </c>
      <c r="AF120" s="1633" t="s">
        <v>286</v>
      </c>
      <c r="AG120" s="1633" t="s">
        <v>287</v>
      </c>
      <c r="AH120" s="1633" t="str">
        <f>IF($E$100=0,"",$E$100)</f>
        <v>Тариф на горячую воду (горячее водоснабжение)</v>
      </c>
      <c r="AI120" s="1633" t="str">
        <f>IF($G$100=0,"",$G$100)</f>
        <v>Горячее водоснабжение</v>
      </c>
      <c r="AJ120" s="1633" t="str">
        <f>IF($J$120=0,"",$J$120)</f>
        <v>Тариф на горячую воду в закрытой системе горячего водоснабжения, поставляемую группе потребителей "потребители (кроме населения)"</v>
      </c>
      <c r="AK120" s="1633" t="str">
        <f>IF($K$120="нет","без дифференциации",IF($N$120=0,"",$N$120))</f>
        <v>Территория 1</v>
      </c>
      <c r="AL120" s="2210" t="str">
        <f>IF($O$120="нет","без дифференциации",IF($R$120=0,"",$R$120))</f>
        <v>н.п. Енский</v>
      </c>
      <c r="AM120" s="2210"/>
      <c r="AN120" s="1633" t="str">
        <f>$I$120</f>
        <v>3</v>
      </c>
      <c r="AO120" s="1633" t="str">
        <f>$I$120&amp;"."&amp;$M$120</f>
        <v>3.1</v>
      </c>
      <c r="AP120" s="1633" t="str">
        <f>$I$120&amp;"."&amp;$M$120&amp;"."&amp;$Q$120</f>
        <v>3.1.1</v>
      </c>
      <c r="AQ120" s="1633"/>
    </row>
    <row customHeight="1" ht="17.25">
      <c r="A121" s="2206"/>
      <c r="B121" s="5809"/>
      <c r="C121" s="2211"/>
      <c r="D121" s="2196"/>
      <c r="E121" s="2213"/>
      <c r="F121" s="2150"/>
      <c r="G121" s="2214"/>
      <c r="H121" s="2784"/>
      <c r="I121" s="2784"/>
      <c r="J121" s="2810"/>
      <c r="K121" s="2466"/>
      <c r="L121" s="2403"/>
      <c r="M121" s="2403"/>
      <c r="N121" s="2808"/>
      <c r="O121" s="2466"/>
      <c r="P121" s="2403"/>
      <c r="Q121" s="2403"/>
      <c r="R121" s="2789"/>
      <c r="S121" s="2663"/>
      <c r="T121" s="1801"/>
      <c r="U121" s="1802"/>
      <c r="V121" s="1802"/>
      <c r="W121" s="2810"/>
      <c r="X121" s="5809"/>
      <c r="Y121" s="1625"/>
      <c r="Z121" s="1625"/>
      <c r="AA121" s="1625"/>
      <c r="AB121" s="1625"/>
      <c r="AC121" s="1625"/>
      <c r="AD121" s="1625"/>
      <c r="AE121" s="1625"/>
      <c r="AF121" s="1625"/>
      <c r="AG121" s="1625"/>
      <c r="AH121" s="1625"/>
      <c r="AI121" s="1625"/>
      <c r="AJ121" s="1625"/>
      <c r="AK121" s="1625"/>
      <c r="AL121" s="5809"/>
      <c r="AM121" s="5809"/>
      <c r="AN121" s="5809"/>
      <c r="AO121" s="5809"/>
      <c r="AP121" s="5809"/>
      <c r="AQ121" s="5809"/>
    </row>
    <row customHeight="1" ht="17.25">
      <c r="A122" s="2206"/>
      <c r="B122" s="5809"/>
      <c r="C122" s="2211"/>
      <c r="D122" s="2196"/>
      <c r="E122" s="2213"/>
      <c r="F122" s="2150"/>
      <c r="G122" s="2214"/>
      <c r="H122" s="2785"/>
      <c r="I122" s="2785"/>
      <c r="J122" s="2811"/>
      <c r="K122" s="2466"/>
      <c r="L122" s="2785"/>
      <c r="M122" s="2785"/>
      <c r="N122" s="2809"/>
      <c r="O122" s="2407"/>
      <c r="P122" s="678"/>
      <c r="Q122" s="679"/>
      <c r="R122" s="679" t="s">
        <v>262</v>
      </c>
      <c r="S122" s="2212"/>
      <c r="T122" s="2212"/>
      <c r="U122" s="2212"/>
      <c r="V122" s="2212"/>
      <c r="W122" s="1799"/>
      <c r="X122" s="5809"/>
      <c r="Y122" s="1625"/>
      <c r="Z122" s="1625"/>
      <c r="AA122" s="1625"/>
      <c r="AB122" s="1625"/>
      <c r="AC122" s="1625"/>
      <c r="AD122" s="1625"/>
      <c r="AE122" s="1625"/>
      <c r="AF122" s="1625"/>
      <c r="AG122" s="1625"/>
      <c r="AH122" s="1625"/>
      <c r="AI122" s="1625"/>
      <c r="AJ122" s="1625"/>
      <c r="AK122" s="1625"/>
      <c r="AL122" s="5809"/>
      <c r="AM122" s="5809"/>
      <c r="AN122" s="5809"/>
      <c r="AO122" s="5809"/>
      <c r="AP122" s="5809"/>
      <c r="AQ122" s="5809"/>
    </row>
    <row customHeight="1" ht="17.25">
      <c r="A123" s="2206"/>
      <c r="B123" s="5809"/>
      <c r="C123" s="2208"/>
      <c r="D123" s="2196"/>
      <c r="E123" s="2213"/>
      <c r="F123" s="2150"/>
      <c r="G123" s="2214"/>
      <c r="H123" s="2196"/>
      <c r="I123" s="2196"/>
      <c r="J123" s="2218"/>
      <c r="K123" s="2214"/>
      <c r="L123" s="2403" t="s">
        <v>103</v>
      </c>
      <c r="M123" s="2403" t="s">
        <v>102</v>
      </c>
      <c r="N123" s="2808" t="str">
        <f>IF(Z123="","",INDEX(TERRITORY_MR_LIST,MATCH(Z123,TERRITORY_LIST_ID,0)))</f>
        <v>Территория 2</v>
      </c>
      <c r="O123" s="2465" t="s">
        <v>56</v>
      </c>
      <c r="P123" s="2403"/>
      <c r="Q123" s="2403" t="s">
        <v>118</v>
      </c>
      <c r="R123" s="5818" t="s">
        <v>24</v>
      </c>
      <c r="S123" s="2663" t="s">
        <v>56</v>
      </c>
      <c r="T123" s="2168"/>
      <c r="U123" s="2168" t="s">
        <v>118</v>
      </c>
      <c r="V123" s="1800"/>
      <c r="W123" s="2810" t="s">
        <v>256</v>
      </c>
      <c r="X123" s="5809"/>
      <c r="Y123" s="1633"/>
      <c r="Z123" s="1633" t="s">
        <v>104</v>
      </c>
      <c r="AA123" s="1633"/>
      <c r="AB123" s="1633"/>
      <c r="AC123" s="5823" t="s">
        <v>258</v>
      </c>
      <c r="AD123" s="5823" t="s">
        <v>284</v>
      </c>
      <c r="AE123" s="1633" t="s">
        <v>288</v>
      </c>
      <c r="AF123" s="1633" t="s">
        <v>289</v>
      </c>
      <c r="AG123" s="1633" t="s">
        <v>290</v>
      </c>
      <c r="AH123" s="1633" t="str">
        <f>IF($E$100=0,"",$E$100)</f>
        <v>Тариф на горячую воду (горячее водоснабжение)</v>
      </c>
      <c r="AI123" s="1633" t="str">
        <f>IF($G$100=0,"",$G$100)</f>
        <v>Горячее водоснабжение</v>
      </c>
      <c r="AJ123" s="1633" t="str">
        <f>IF($J$120=0,"",$J$120)</f>
        <v>Тариф на горячую воду в закрытой системе горячего водоснабжения, поставляемую группе потребителей "потребители (кроме населения)"</v>
      </c>
      <c r="AK123" s="1633" t="str">
        <f>IF($K$123="нет","без дифференциации",IF($N$123=0,"",$N$123))</f>
        <v>Территория 2</v>
      </c>
      <c r="AL123" s="2210" t="str">
        <f>IF($O$123="нет","без дифференциации",IF($R$123=0,"",$R$123))</f>
        <v>без дифференциации</v>
      </c>
      <c r="AM123" s="2210"/>
      <c r="AN123" s="1633" t="str">
        <f>$I$120</f>
        <v>3</v>
      </c>
      <c r="AO123" s="1633" t="str">
        <f>$I$120&amp;"."&amp;$M$123</f>
        <v>3.2</v>
      </c>
      <c r="AP123" s="1633" t="str">
        <f>$I$120&amp;"."&amp;$M$123&amp;"."&amp;$Q$123</f>
        <v>3.2.1</v>
      </c>
      <c r="AQ123" s="1633"/>
    </row>
    <row customHeight="1" ht="17.25">
      <c r="A124" s="2206"/>
      <c r="B124" s="5809"/>
      <c r="C124" s="2211"/>
      <c r="D124" s="2196"/>
      <c r="E124" s="2213"/>
      <c r="F124" s="2150"/>
      <c r="G124" s="2214"/>
      <c r="H124" s="2196"/>
      <c r="I124" s="2196"/>
      <c r="J124" s="2218"/>
      <c r="K124" s="2214"/>
      <c r="L124" s="2403"/>
      <c r="M124" s="2403"/>
      <c r="N124" s="2808"/>
      <c r="O124" s="2466"/>
      <c r="P124" s="2403"/>
      <c r="Q124" s="2403"/>
      <c r="R124" s="5818" t="s">
        <v>24</v>
      </c>
      <c r="S124" s="2663"/>
      <c r="T124" s="1801"/>
      <c r="U124" s="1802"/>
      <c r="V124" s="1802"/>
      <c r="W124" s="2810"/>
      <c r="X124" s="5809"/>
      <c r="Y124" s="1625"/>
      <c r="Z124" s="1625"/>
      <c r="AA124" s="1625"/>
      <c r="AB124" s="1625"/>
      <c r="AC124" s="1625"/>
      <c r="AD124" s="1625"/>
      <c r="AE124" s="1625"/>
      <c r="AF124" s="1625"/>
      <c r="AG124" s="1625"/>
      <c r="AH124" s="1625"/>
      <c r="AI124" s="1625"/>
      <c r="AJ124" s="1625"/>
      <c r="AK124" s="1625"/>
      <c r="AL124" s="5809"/>
      <c r="AM124" s="5809"/>
      <c r="AN124" s="5809"/>
      <c r="AO124" s="5809"/>
      <c r="AP124" s="5809"/>
      <c r="AQ124" s="5809"/>
    </row>
    <row customHeight="1" ht="17.25">
      <c r="A125" s="2206"/>
      <c r="B125" s="5809"/>
      <c r="C125" s="2211"/>
      <c r="D125" s="2196"/>
      <c r="E125" s="2213"/>
      <c r="F125" s="2150"/>
      <c r="G125" s="2214"/>
      <c r="H125" s="2196"/>
      <c r="I125" s="2196"/>
      <c r="J125" s="2218"/>
      <c r="K125" s="2214"/>
      <c r="L125" s="2785"/>
      <c r="M125" s="2785"/>
      <c r="N125" s="2809"/>
      <c r="O125" s="2407"/>
      <c r="P125" s="678"/>
      <c r="Q125" s="679"/>
      <c r="R125" s="679" t="s">
        <v>262</v>
      </c>
      <c r="S125" s="2212"/>
      <c r="T125" s="2212"/>
      <c r="U125" s="2212"/>
      <c r="V125" s="2212"/>
      <c r="W125" s="1799"/>
      <c r="X125" s="5809"/>
      <c r="Y125" s="1625"/>
      <c r="Z125" s="1625"/>
      <c r="AA125" s="1625"/>
      <c r="AB125" s="1625"/>
      <c r="AC125" s="1625"/>
      <c r="AD125" s="1625"/>
      <c r="AE125" s="1625"/>
      <c r="AF125" s="1625"/>
      <c r="AG125" s="1625"/>
      <c r="AH125" s="1625"/>
      <c r="AI125" s="1625"/>
      <c r="AJ125" s="1625"/>
      <c r="AK125" s="1625"/>
      <c r="AL125" s="5809"/>
      <c r="AM125" s="5809"/>
      <c r="AN125" s="5809"/>
      <c r="AO125" s="5809"/>
      <c r="AP125" s="5809"/>
      <c r="AQ125" s="5809"/>
    </row>
    <row customHeight="1" ht="17.25">
      <c r="A126" s="2206"/>
      <c r="B126" s="5809"/>
      <c r="C126" s="2208"/>
      <c r="D126" s="2196"/>
      <c r="E126" s="2213"/>
      <c r="F126" s="2150"/>
      <c r="G126" s="2214"/>
      <c r="H126" s="2196"/>
      <c r="I126" s="2196"/>
      <c r="J126" s="2218"/>
      <c r="K126" s="2214"/>
      <c r="L126" s="2403" t="s">
        <v>103</v>
      </c>
      <c r="M126" s="2403" t="s">
        <v>89</v>
      </c>
      <c r="N126" s="2808" t="str">
        <f>IF(Z126="","",INDEX(TERRITORY_MR_LIST,MATCH(Z126,TERRITORY_LIST_ID,0)))</f>
        <v>Территория 3</v>
      </c>
      <c r="O126" s="2465" t="s">
        <v>66</v>
      </c>
      <c r="P126" s="2403"/>
      <c r="Q126" s="2403" t="s">
        <v>118</v>
      </c>
      <c r="R126" s="2789" t="s">
        <v>266</v>
      </c>
      <c r="S126" s="2663" t="s">
        <v>56</v>
      </c>
      <c r="T126" s="2168"/>
      <c r="U126" s="2168" t="s">
        <v>118</v>
      </c>
      <c r="V126" s="1800"/>
      <c r="W126" s="2810" t="s">
        <v>256</v>
      </c>
      <c r="X126" s="5809"/>
      <c r="Y126" s="1633"/>
      <c r="Z126" s="1633" t="s">
        <v>109</v>
      </c>
      <c r="AA126" s="1633"/>
      <c r="AB126" s="1633"/>
      <c r="AC126" s="5823" t="s">
        <v>258</v>
      </c>
      <c r="AD126" s="5823" t="s">
        <v>284</v>
      </c>
      <c r="AE126" s="1633" t="s">
        <v>291</v>
      </c>
      <c r="AF126" s="1633" t="s">
        <v>292</v>
      </c>
      <c r="AG126" s="1633" t="s">
        <v>293</v>
      </c>
      <c r="AH126" s="1633" t="str">
        <f>IF($E$100=0,"",$E$100)</f>
        <v>Тариф на горячую воду (горячее водоснабжение)</v>
      </c>
      <c r="AI126" s="1633" t="str">
        <f>IF($G$100=0,"",$G$100)</f>
        <v>Горячее водоснабжение</v>
      </c>
      <c r="AJ126" s="1633" t="str">
        <f>IF($J$120=0,"",$J$120)</f>
        <v>Тариф на горячую воду в закрытой системе горячего водоснабжения, поставляемую группе потребителей "потребители (кроме населения)"</v>
      </c>
      <c r="AK126" s="1633" t="str">
        <f>IF($K$126="нет","без дифференциации",IF($N$126=0,"",$N$126))</f>
        <v>Территория 3</v>
      </c>
      <c r="AL126" s="2210" t="str">
        <f>IF($O$126="нет","без дифференциации",IF($R$126=0,"",$R$126))</f>
        <v>н.п. Белое море</v>
      </c>
      <c r="AM126" s="2210"/>
      <c r="AN126" s="1633" t="str">
        <f>$I$120</f>
        <v>3</v>
      </c>
      <c r="AO126" s="1633" t="str">
        <f>$I$120&amp;"."&amp;$M$126</f>
        <v>3.3</v>
      </c>
      <c r="AP126" s="1633" t="str">
        <f>$I$120&amp;"."&amp;$M$126&amp;"."&amp;$Q$126</f>
        <v>3.3.1</v>
      </c>
      <c r="AQ126" s="1633"/>
    </row>
    <row customHeight="1" ht="17.25">
      <c r="A127" s="2206"/>
      <c r="B127" s="5809"/>
      <c r="C127" s="2211"/>
      <c r="D127" s="2196"/>
      <c r="E127" s="2213"/>
      <c r="F127" s="2150"/>
      <c r="G127" s="2214"/>
      <c r="H127" s="2196"/>
      <c r="I127" s="2196"/>
      <c r="J127" s="2218"/>
      <c r="K127" s="2214"/>
      <c r="L127" s="2403"/>
      <c r="M127" s="2403"/>
      <c r="N127" s="2808"/>
      <c r="O127" s="2466"/>
      <c r="P127" s="2403"/>
      <c r="Q127" s="2403"/>
      <c r="R127" s="2789"/>
      <c r="S127" s="2663"/>
      <c r="T127" s="1801"/>
      <c r="U127" s="1802"/>
      <c r="V127" s="1802"/>
      <c r="W127" s="2810"/>
      <c r="X127" s="5809"/>
      <c r="Y127" s="1625"/>
      <c r="Z127" s="1625"/>
      <c r="AA127" s="1625"/>
      <c r="AB127" s="1625"/>
      <c r="AC127" s="1625"/>
      <c r="AD127" s="1625"/>
      <c r="AE127" s="1625"/>
      <c r="AF127" s="1625"/>
      <c r="AG127" s="1625"/>
      <c r="AH127" s="1625"/>
      <c r="AI127" s="1625"/>
      <c r="AJ127" s="1625"/>
      <c r="AK127" s="1625"/>
      <c r="AL127" s="5809"/>
      <c r="AM127" s="5809"/>
      <c r="AN127" s="5809"/>
      <c r="AO127" s="5809"/>
      <c r="AP127" s="5809"/>
      <c r="AQ127" s="5809"/>
    </row>
    <row customHeight="1" ht="17.25">
      <c r="A128" s="2206"/>
      <c r="B128" s="5809"/>
      <c r="C128" s="2211"/>
      <c r="D128" s="2196"/>
      <c r="E128" s="2213"/>
      <c r="F128" s="2150"/>
      <c r="G128" s="2214"/>
      <c r="H128" s="2196"/>
      <c r="I128" s="2196"/>
      <c r="J128" s="2218"/>
      <c r="K128" s="2214"/>
      <c r="L128" s="2785"/>
      <c r="M128" s="2785"/>
      <c r="N128" s="2809"/>
      <c r="O128" s="2407"/>
      <c r="P128" s="678"/>
      <c r="Q128" s="679"/>
      <c r="R128" s="679" t="s">
        <v>262</v>
      </c>
      <c r="S128" s="2212"/>
      <c r="T128" s="2212"/>
      <c r="U128" s="2212"/>
      <c r="V128" s="2212"/>
      <c r="W128" s="1799"/>
      <c r="X128" s="5809"/>
      <c r="Y128" s="1625"/>
      <c r="Z128" s="1625"/>
      <c r="AA128" s="1625"/>
      <c r="AB128" s="1625"/>
      <c r="AC128" s="1625"/>
      <c r="AD128" s="1625"/>
      <c r="AE128" s="1625"/>
      <c r="AF128" s="1625"/>
      <c r="AG128" s="1625"/>
      <c r="AH128" s="1625"/>
      <c r="AI128" s="1625"/>
      <c r="AJ128" s="1625"/>
      <c r="AK128" s="1625"/>
      <c r="AL128" s="5809"/>
      <c r="AM128" s="5809"/>
      <c r="AN128" s="5809"/>
      <c r="AO128" s="5809"/>
      <c r="AP128" s="5809"/>
      <c r="AQ128" s="5809"/>
    </row>
    <row customHeight="1" ht="17.25">
      <c r="A129" s="2206"/>
      <c r="B129" s="5809"/>
      <c r="C129" s="2211"/>
      <c r="D129" s="2196"/>
      <c r="E129" s="2213"/>
      <c r="F129" s="2150"/>
      <c r="G129" s="2214"/>
      <c r="H129" s="2785"/>
      <c r="I129" s="2785"/>
      <c r="J129" s="2811"/>
      <c r="K129" s="2407"/>
      <c r="L129" s="678"/>
      <c r="M129" s="679"/>
      <c r="N129" s="679" t="s">
        <v>270</v>
      </c>
      <c r="O129" s="679"/>
      <c r="P129" s="679"/>
      <c r="Q129" s="679"/>
      <c r="R129" s="679"/>
      <c r="S129" s="2212"/>
      <c r="T129" s="2212"/>
      <c r="U129" s="2212"/>
      <c r="V129" s="2212"/>
      <c r="W129" s="680"/>
      <c r="X129" s="5809"/>
      <c r="Y129" s="1625"/>
      <c r="Z129" s="1625"/>
      <c r="AA129" s="1625"/>
      <c r="AB129" s="1625"/>
      <c r="AC129" s="1625"/>
      <c r="AD129" s="1625"/>
      <c r="AE129" s="1625"/>
      <c r="AF129" s="1625"/>
      <c r="AG129" s="1625"/>
      <c r="AH129" s="1625"/>
      <c r="AI129" s="1625"/>
      <c r="AJ129" s="1625"/>
      <c r="AK129" s="1625"/>
      <c r="AL129" s="5809"/>
      <c r="AM129" s="5809"/>
      <c r="AN129" s="5809"/>
      <c r="AO129" s="5809"/>
      <c r="AP129" s="5809"/>
      <c r="AQ129" s="5809"/>
    </row>
    <row s="31730" customFormat="1" customHeight="1" ht="17.25">
      <c r="A130" s="682"/>
      <c r="C130" s="681"/>
      <c r="D130" s="2417"/>
      <c r="E130" s="2419"/>
      <c r="F130" s="2422"/>
      <c r="G130" s="5851"/>
      <c r="H130" s="5852"/>
      <c r="I130" s="5853"/>
      <c r="J130" s="5854" t="s">
        <v>294</v>
      </c>
      <c r="K130" s="5855"/>
      <c r="L130" s="5856"/>
      <c r="M130" s="5857"/>
      <c r="N130" s="5858"/>
      <c r="O130" s="5859"/>
      <c r="P130" s="5860"/>
      <c r="Q130" s="5861"/>
      <c r="R130" s="5862"/>
      <c r="S130" s="5863"/>
      <c r="T130" s="5864"/>
      <c r="U130" s="5865"/>
      <c r="V130" s="5866"/>
      <c r="W130" s="5867"/>
      <c r="Y130" s="1625"/>
      <c r="Z130" s="1625"/>
      <c r="AA130" s="1625"/>
      <c r="AB130" s="1625"/>
      <c r="AC130" s="1625"/>
      <c r="AD130" s="1625"/>
      <c r="AE130" s="1625"/>
      <c r="AF130" s="1625"/>
      <c r="AG130" s="1625"/>
      <c r="AH130" s="1625"/>
      <c r="AI130" s="1625"/>
      <c r="AJ130" s="1625"/>
      <c r="AK130" s="1625"/>
      <c r="AL130" s="1625"/>
      <c r="AM130" s="1625"/>
      <c r="AN130" s="1625"/>
      <c r="AO130" s="1625"/>
      <c r="AP130" s="1625"/>
      <c r="AQ130" s="1625"/>
    </row>
    <row s="31730" customFormat="1" customHeight="1" ht="17.25">
      <c r="A131" s="682"/>
      <c r="C131" s="570"/>
      <c r="D131" s="2416">
        <v>2</v>
      </c>
      <c r="E131" s="2418" t="s">
        <v>295</v>
      </c>
      <c r="F131" s="2420" t="s">
        <v>56</v>
      </c>
      <c r="G131" s="2418"/>
      <c r="H131" s="2423"/>
      <c r="I131" s="2425"/>
      <c r="J131" s="2427"/>
      <c r="K131" s="2410"/>
      <c r="L131" s="2410"/>
      <c r="M131" s="2410"/>
      <c r="N131" s="2412"/>
      <c r="O131" s="2410"/>
      <c r="P131" s="2410"/>
      <c r="Q131" s="2410"/>
      <c r="R131" s="2415"/>
      <c r="S131" s="2410"/>
      <c r="T131" s="1836"/>
      <c r="U131" s="1836"/>
      <c r="V131" s="1838"/>
      <c r="W131" s="1662"/>
      <c r="X131" s="1633"/>
      <c r="Y131" s="1633"/>
      <c r="Z131" s="1633"/>
      <c r="AA131" s="1633"/>
      <c r="AB131" s="1633"/>
      <c r="AC131" s="1633" t="s">
        <v>296</v>
      </c>
      <c r="AD131" s="1633" t="s">
        <v>297</v>
      </c>
      <c r="AE131" s="1633" t="s">
        <v>298</v>
      </c>
      <c r="AF131" s="1633" t="s">
        <v>299</v>
      </c>
      <c r="AG131" s="1633"/>
      <c r="AH131" s="1633" t="str">
        <f>IF($E$131=0,"",$E$131)</f>
        <v>Тариф на транспортировку горячей воды</v>
      </c>
      <c r="AI131" s="1633" t="str">
        <f>IF($G$131=0,"",$G$131)</f>
        <v/>
      </c>
      <c r="AJ131" s="1633" t="str">
        <f>IF($J$131=0,"",$J$131)</f>
        <v/>
      </c>
      <c r="AK131" s="1633" t="str">
        <f>IF($K$131="нет","без дифференциации",IF($N$131=0,"",$N$131))</f>
        <v/>
      </c>
      <c r="AL131" s="1633" t="str">
        <f>IF($O$131="нет","без дифференциации",IF($R$131=0,"",$R$131))</f>
        <v/>
      </c>
      <c r="AM131" s="1633" t="str">
        <f>IF($S$131="нет","без дифференциации",IF($V$131=0,"",$V$131))</f>
        <v/>
      </c>
      <c r="AN131" s="2138">
        <f>$I$131</f>
        <v>0</v>
      </c>
      <c r="AO131" s="1633" t="str">
        <f>$I$131&amp;"."&amp;$M$131</f>
        <v>.</v>
      </c>
      <c r="AP131" s="1625" t="str">
        <f>$I$131&amp;"."&amp;$M$131&amp;"."&amp;$Q$131</f>
        <v>..</v>
      </c>
      <c r="AQ131" s="1625" t="str">
        <f>$I$131&amp;"."&amp;$M$131&amp;"."&amp;$Q$131&amp;"."&amp;$U$131</f>
        <v>...</v>
      </c>
    </row>
    <row s="31730" customFormat="1" customHeight="1" ht="17.25">
      <c r="A132" s="682"/>
      <c r="C132" s="681"/>
      <c r="D132" s="2416"/>
      <c r="E132" s="2418"/>
      <c r="F132" s="2421"/>
      <c r="G132" s="2418"/>
      <c r="H132" s="2424"/>
      <c r="I132" s="2426"/>
      <c r="J132" s="2428"/>
      <c r="K132" s="2411"/>
      <c r="L132" s="2411"/>
      <c r="M132" s="2411"/>
      <c r="N132" s="2413"/>
      <c r="O132" s="2411"/>
      <c r="P132" s="2411"/>
      <c r="Q132" s="2411"/>
      <c r="R132" s="2414"/>
      <c r="S132" s="2411"/>
      <c r="T132" s="1663"/>
      <c r="U132" s="1663"/>
      <c r="V132" s="1663"/>
      <c r="W132" s="1664"/>
      <c r="X132" s="1625"/>
      <c r="Y132" s="1625"/>
      <c r="Z132" s="1625"/>
      <c r="AA132" s="1625"/>
      <c r="AB132" s="1625"/>
      <c r="AC132" s="1625"/>
      <c r="AD132" s="1625"/>
      <c r="AE132" s="1625"/>
      <c r="AF132" s="1625"/>
      <c r="AG132" s="1625"/>
      <c r="AH132" s="1625"/>
      <c r="AI132" s="1625"/>
      <c r="AJ132" s="1625"/>
      <c r="AK132" s="1625"/>
      <c r="AL132" s="1625"/>
      <c r="AM132" s="1625"/>
      <c r="AN132" s="1625"/>
      <c r="AO132" s="1625"/>
      <c r="AP132" s="1625"/>
      <c r="AQ132" s="1625"/>
    </row>
    <row s="31730" customFormat="1" customHeight="1" ht="17.25">
      <c r="A133" s="682"/>
      <c r="C133" s="681"/>
      <c r="D133" s="2417"/>
      <c r="E133" s="2419"/>
      <c r="F133" s="2421"/>
      <c r="G133" s="2419"/>
      <c r="H133" s="2424"/>
      <c r="I133" s="2426"/>
      <c r="J133" s="2429"/>
      <c r="K133" s="2411"/>
      <c r="L133" s="2411"/>
      <c r="M133" s="2411"/>
      <c r="N133" s="2414"/>
      <c r="O133" s="2411"/>
      <c r="P133" s="1837"/>
      <c r="Q133" s="1663"/>
      <c r="R133" s="1663"/>
      <c r="S133" s="690"/>
      <c r="T133" s="690"/>
      <c r="U133" s="690"/>
      <c r="V133" s="690"/>
      <c r="W133" s="1664"/>
      <c r="X133" s="1625"/>
      <c r="Y133" s="1625"/>
      <c r="Z133" s="1625"/>
      <c r="AA133" s="1625"/>
      <c r="AB133" s="1625"/>
      <c r="AC133" s="1625"/>
      <c r="AD133" s="1625"/>
      <c r="AE133" s="1625"/>
      <c r="AF133" s="1625"/>
      <c r="AG133" s="1625"/>
      <c r="AH133" s="1625"/>
      <c r="AI133" s="1625"/>
      <c r="AJ133" s="1625"/>
      <c r="AK133" s="1625"/>
      <c r="AL133" s="1625"/>
      <c r="AM133" s="1625"/>
      <c r="AN133" s="1625"/>
      <c r="AO133" s="1625"/>
      <c r="AP133" s="1625"/>
      <c r="AQ133" s="1625"/>
    </row>
    <row s="31730" customFormat="1" customHeight="1" ht="17.25">
      <c r="A134" s="682"/>
      <c r="C134" s="681"/>
      <c r="D134" s="2417"/>
      <c r="E134" s="2419"/>
      <c r="F134" s="2421"/>
      <c r="G134" s="2419"/>
      <c r="H134" s="2424"/>
      <c r="I134" s="2426"/>
      <c r="J134" s="2429"/>
      <c r="K134" s="2411"/>
      <c r="L134" s="1663"/>
      <c r="M134" s="1663"/>
      <c r="N134" s="1663"/>
      <c r="O134" s="1663"/>
      <c r="P134" s="1663"/>
      <c r="Q134" s="1663"/>
      <c r="R134" s="1663"/>
      <c r="S134" s="690"/>
      <c r="T134" s="690"/>
      <c r="U134" s="690"/>
      <c r="V134" s="690"/>
      <c r="W134" s="1664"/>
      <c r="X134" s="1625"/>
      <c r="Y134" s="1625"/>
      <c r="Z134" s="1625"/>
      <c r="AA134" s="1625"/>
      <c r="AB134" s="1625"/>
      <c r="AC134" s="1625"/>
      <c r="AD134" s="1625"/>
      <c r="AE134" s="1625"/>
      <c r="AF134" s="1625"/>
      <c r="AG134" s="1625"/>
      <c r="AH134" s="1625"/>
      <c r="AI134" s="1625"/>
      <c r="AJ134" s="1625"/>
      <c r="AK134" s="1625"/>
      <c r="AL134" s="1625"/>
      <c r="AM134" s="1625"/>
      <c r="AN134" s="1625"/>
      <c r="AO134" s="1625"/>
      <c r="AP134" s="1625"/>
      <c r="AQ134" s="1625"/>
    </row>
    <row s="31730" customFormat="1" customHeight="1" ht="17.25">
      <c r="A135" s="682"/>
      <c r="C135" s="681"/>
      <c r="D135" s="2417"/>
      <c r="E135" s="2419"/>
      <c r="F135" s="2422"/>
      <c r="G135" s="2419"/>
      <c r="H135" s="1665"/>
      <c r="I135" s="1666"/>
      <c r="J135" s="1666"/>
      <c r="K135" s="1666"/>
      <c r="L135" s="1666"/>
      <c r="M135" s="1666"/>
      <c r="N135" s="1666"/>
      <c r="O135" s="1666"/>
      <c r="P135" s="1666"/>
      <c r="Q135" s="1666"/>
      <c r="R135" s="1666"/>
      <c r="S135" s="1667"/>
      <c r="T135" s="1667"/>
      <c r="U135" s="1667"/>
      <c r="V135" s="1667"/>
      <c r="W135" s="1668"/>
      <c r="X135" s="1625"/>
      <c r="Y135" s="1625"/>
      <c r="Z135" s="1625"/>
      <c r="AA135" s="1625"/>
      <c r="AB135" s="1625"/>
      <c r="AC135" s="1625"/>
      <c r="AD135" s="1625"/>
      <c r="AE135" s="1625"/>
      <c r="AF135" s="1625"/>
      <c r="AG135" s="1625"/>
      <c r="AH135" s="1625"/>
      <c r="AI135" s="1625"/>
      <c r="AJ135" s="1625"/>
      <c r="AK135" s="1625"/>
      <c r="AL135" s="1625"/>
      <c r="AM135" s="1625"/>
      <c r="AN135" s="1625"/>
      <c r="AO135" s="1625"/>
      <c r="AP135" s="1625"/>
      <c r="AQ135" s="1625"/>
    </row>
    <row s="31730" customFormat="1" customHeight="1" ht="17.25">
      <c r="A136" s="682"/>
      <c r="C136" s="570"/>
      <c r="D136" s="2416">
        <v>3</v>
      </c>
      <c r="E136" s="2418" t="s">
        <v>300</v>
      </c>
      <c r="F136" s="2420" t="s">
        <v>56</v>
      </c>
      <c r="G136" s="2418"/>
      <c r="H136" s="2423"/>
      <c r="I136" s="2425"/>
      <c r="J136" s="2427"/>
      <c r="K136" s="2410"/>
      <c r="L136" s="2410"/>
      <c r="M136" s="2410"/>
      <c r="N136" s="2412"/>
      <c r="O136" s="2410"/>
      <c r="P136" s="2410"/>
      <c r="Q136" s="2410"/>
      <c r="R136" s="2415"/>
      <c r="S136" s="2410"/>
      <c r="T136" s="2310"/>
      <c r="U136" s="2310"/>
      <c r="V136" s="2312"/>
      <c r="W136" s="1662"/>
      <c r="X136" s="1633"/>
      <c r="Y136" s="1633"/>
      <c r="Z136" s="1633"/>
      <c r="AA136" s="1633"/>
      <c r="AB136" s="1633"/>
      <c r="AC136" s="1633" t="s">
        <v>301</v>
      </c>
      <c r="AD136" s="1633" t="s">
        <v>302</v>
      </c>
      <c r="AE136" s="1633" t="s">
        <v>303</v>
      </c>
      <c r="AF136" s="1633" t="s">
        <v>304</v>
      </c>
      <c r="AG136" s="1633"/>
      <c r="AH136" s="1633" t="str">
        <f>IF($E$136=0,"",$E$136)</f>
        <v>Тариф на подключение (технологическое присоединение) к централизованной системе горячего водоснабжения</v>
      </c>
      <c r="AI136" s="1633" t="str">
        <f>IF($G$136=0,"",$G$136)</f>
        <v/>
      </c>
      <c r="AJ136" s="1633" t="str">
        <f>IF($J$136=0,"",$J$136)</f>
        <v/>
      </c>
      <c r="AK136" s="1633" t="str">
        <f>IF($K$136="нет","без дифференциации",IF($N$136=0,"",$N$136))</f>
        <v/>
      </c>
      <c r="AL136" s="1633" t="str">
        <f>IF($O$136="нет","без дифференциации",IF($R$136=0,"",$R$136))</f>
        <v/>
      </c>
      <c r="AM136" s="1633" t="str">
        <f>IF($S$136="нет","без дифференциации",IF($V$136=0,"",$V$136))</f>
        <v/>
      </c>
      <c r="AN136" s="2138">
        <f>$I$136</f>
        <v>0</v>
      </c>
      <c r="AO136" s="1633" t="str">
        <f>$I$136&amp;"."&amp;$M$136</f>
        <v>.</v>
      </c>
      <c r="AP136" s="1632" t="str">
        <f>$I$136&amp;"."&amp;$M$136&amp;"."&amp;$Q$136</f>
        <v>..</v>
      </c>
      <c r="AQ136" s="1632" t="str">
        <f>$I$136&amp;"."&amp;$M$136&amp;"."&amp;$Q$136&amp;"."&amp;$U$136</f>
        <v>...</v>
      </c>
    </row>
    <row s="31730" customFormat="1" customHeight="1" ht="17.25">
      <c r="A137" s="682"/>
      <c r="C137" s="681"/>
      <c r="D137" s="2416"/>
      <c r="E137" s="2418"/>
      <c r="F137" s="2421"/>
      <c r="G137" s="2418"/>
      <c r="H137" s="2424"/>
      <c r="I137" s="2426"/>
      <c r="J137" s="2428"/>
      <c r="K137" s="2411"/>
      <c r="L137" s="2411"/>
      <c r="M137" s="2411"/>
      <c r="N137" s="2413"/>
      <c r="O137" s="2411"/>
      <c r="P137" s="2411"/>
      <c r="Q137" s="2411"/>
      <c r="R137" s="2414"/>
      <c r="S137" s="2411"/>
      <c r="T137" s="2315"/>
      <c r="U137" s="2315"/>
      <c r="V137" s="2315"/>
      <c r="W137" s="2316"/>
      <c r="X137" s="1632"/>
      <c r="Y137" s="1632"/>
      <c r="Z137" s="1632"/>
      <c r="AA137" s="1632"/>
      <c r="AB137" s="1632"/>
      <c r="AC137" s="1632"/>
      <c r="AD137" s="1632"/>
      <c r="AE137" s="1632"/>
      <c r="AF137" s="1632"/>
      <c r="AG137" s="1632"/>
      <c r="AH137" s="1632"/>
      <c r="AI137" s="1632"/>
      <c r="AJ137" s="1632"/>
      <c r="AK137" s="1632"/>
      <c r="AL137" s="1632"/>
      <c r="AM137" s="1632"/>
      <c r="AN137" s="1632"/>
      <c r="AO137" s="1632"/>
      <c r="AP137" s="1632"/>
      <c r="AQ137" s="1632"/>
    </row>
    <row s="31730" customFormat="1" customHeight="1" ht="17.25">
      <c r="A138" s="682"/>
      <c r="C138" s="681"/>
      <c r="D138" s="2417"/>
      <c r="E138" s="2419"/>
      <c r="F138" s="2421"/>
      <c r="G138" s="2419"/>
      <c r="H138" s="2424"/>
      <c r="I138" s="2426"/>
      <c r="J138" s="2429"/>
      <c r="K138" s="2411"/>
      <c r="L138" s="2411"/>
      <c r="M138" s="2411"/>
      <c r="N138" s="2414"/>
      <c r="O138" s="2411"/>
      <c r="P138" s="2311"/>
      <c r="Q138" s="2315"/>
      <c r="R138" s="2315"/>
      <c r="S138" s="690"/>
      <c r="T138" s="690"/>
      <c r="U138" s="690"/>
      <c r="V138" s="690"/>
      <c r="W138" s="2316"/>
      <c r="X138" s="1632"/>
      <c r="Y138" s="1632"/>
      <c r="Z138" s="1632"/>
      <c r="AA138" s="1632"/>
      <c r="AB138" s="1632"/>
      <c r="AC138" s="1632"/>
      <c r="AD138" s="1632"/>
      <c r="AE138" s="1632"/>
      <c r="AF138" s="1632"/>
      <c r="AG138" s="1632"/>
      <c r="AH138" s="1632"/>
      <c r="AI138" s="1632"/>
      <c r="AJ138" s="1632"/>
      <c r="AK138" s="1632"/>
      <c r="AL138" s="1632"/>
      <c r="AM138" s="1632"/>
      <c r="AN138" s="1632"/>
      <c r="AO138" s="1632"/>
      <c r="AP138" s="1632"/>
      <c r="AQ138" s="1632"/>
    </row>
    <row s="31730" customFormat="1" customHeight="1" ht="17.25">
      <c r="A139" s="682"/>
      <c r="C139" s="681"/>
      <c r="D139" s="2417"/>
      <c r="E139" s="2419"/>
      <c r="F139" s="2421"/>
      <c r="G139" s="2419"/>
      <c r="H139" s="2424"/>
      <c r="I139" s="2426"/>
      <c r="J139" s="2429"/>
      <c r="K139" s="2411"/>
      <c r="L139" s="2315"/>
      <c r="M139" s="2315"/>
      <c r="N139" s="2315"/>
      <c r="O139" s="2315"/>
      <c r="P139" s="2315"/>
      <c r="Q139" s="2315"/>
      <c r="R139" s="2315"/>
      <c r="S139" s="690"/>
      <c r="T139" s="690"/>
      <c r="U139" s="690"/>
      <c r="V139" s="690"/>
      <c r="W139" s="2316"/>
      <c r="X139" s="1632"/>
      <c r="Y139" s="1632"/>
      <c r="Z139" s="1632"/>
      <c r="AA139" s="1632"/>
      <c r="AB139" s="1632"/>
      <c r="AC139" s="1632"/>
      <c r="AD139" s="1632"/>
      <c r="AE139" s="1632"/>
      <c r="AF139" s="1632"/>
      <c r="AG139" s="1632"/>
      <c r="AH139" s="1632"/>
      <c r="AI139" s="1632"/>
      <c r="AJ139" s="1632"/>
      <c r="AK139" s="1632"/>
      <c r="AL139" s="1632"/>
      <c r="AM139" s="1632"/>
      <c r="AN139" s="1632"/>
      <c r="AO139" s="1632"/>
      <c r="AP139" s="1632"/>
      <c r="AQ139" s="1632"/>
    </row>
    <row s="31730" customFormat="1" customHeight="1" ht="17.25">
      <c r="A140" s="682"/>
      <c r="C140" s="681"/>
      <c r="D140" s="2417"/>
      <c r="E140" s="2419"/>
      <c r="F140" s="2422"/>
      <c r="G140" s="2419"/>
      <c r="H140" s="1665"/>
      <c r="I140" s="2313"/>
      <c r="J140" s="2313"/>
      <c r="K140" s="2313"/>
      <c r="L140" s="2313"/>
      <c r="M140" s="2313"/>
      <c r="N140" s="2313"/>
      <c r="O140" s="2313"/>
      <c r="P140" s="2313"/>
      <c r="Q140" s="2313"/>
      <c r="R140" s="2313"/>
      <c r="S140" s="1667"/>
      <c r="T140" s="1667"/>
      <c r="U140" s="1667"/>
      <c r="V140" s="1667"/>
      <c r="W140" s="2314"/>
      <c r="X140" s="1632"/>
      <c r="Y140" s="1632"/>
      <c r="Z140" s="1632"/>
      <c r="AA140" s="1632"/>
      <c r="AB140" s="1632"/>
      <c r="AC140" s="1632"/>
      <c r="AD140" s="1632"/>
      <c r="AE140" s="1632"/>
      <c r="AF140" s="1632"/>
      <c r="AG140" s="1632"/>
      <c r="AH140" s="1632"/>
      <c r="AI140" s="1632"/>
      <c r="AJ140" s="1632"/>
      <c r="AK140" s="1632"/>
      <c r="AL140" s="1632"/>
      <c r="AM140" s="1632"/>
      <c r="AN140" s="1632"/>
      <c r="AO140" s="1632"/>
      <c r="AP140" s="1632"/>
      <c r="AQ140" s="1632"/>
    </row>
    <row s="31730" customFormat="1" customHeight="1" ht="11.25" hidden="1">
      <c r="A141" s="638"/>
      <c r="B141" s="638"/>
      <c r="Y141" s="1625"/>
      <c r="Z141" s="1625"/>
      <c r="AA141" s="1625"/>
      <c r="AB141" s="1625"/>
      <c r="AC141" s="1625"/>
      <c r="AD141" s="1625"/>
      <c r="AE141" s="1625"/>
      <c r="AF141" s="1625"/>
      <c r="AG141" s="1625"/>
      <c r="AH141" s="1625"/>
      <c r="AI141" s="1625"/>
      <c r="AJ141" s="1625"/>
      <c r="AK141" s="1625"/>
      <c r="AL141" s="1625"/>
      <c r="AM141" s="1625"/>
      <c r="AN141" s="1625"/>
      <c r="AO141" s="1625"/>
      <c r="AP141" s="1625"/>
      <c r="AQ141" s="1625"/>
    </row>
    <row s="31730" customFormat="1" customHeight="1" ht="17.25" hidden="1">
      <c r="A142" s="682"/>
      <c r="C142" s="570"/>
      <c r="D142" s="2416">
        <v>1</v>
      </c>
      <c r="E142" s="2418" t="s">
        <v>305</v>
      </c>
      <c r="F142" s="2420" t="s">
        <v>56</v>
      </c>
      <c r="G142" s="2418"/>
      <c r="H142" s="2423"/>
      <c r="I142" s="2425"/>
      <c r="J142" s="2427"/>
      <c r="K142" s="2410"/>
      <c r="L142" s="2410"/>
      <c r="M142" s="2410"/>
      <c r="N142" s="2412"/>
      <c r="O142" s="2410"/>
      <c r="P142" s="2410"/>
      <c r="Q142" s="2410"/>
      <c r="R142" s="2415"/>
      <c r="S142" s="2410"/>
      <c r="T142" s="1836"/>
      <c r="U142" s="1836"/>
      <c r="V142" s="1838"/>
      <c r="W142" s="1662"/>
      <c r="Y142" s="1633"/>
      <c r="Z142" s="1633"/>
      <c r="AA142" s="1633"/>
      <c r="AB142" s="1633"/>
      <c r="AC142" s="1633" t="s">
        <v>306</v>
      </c>
      <c r="AD142" s="1633" t="s">
        <v>307</v>
      </c>
      <c r="AE142" s="1633" t="s">
        <v>308</v>
      </c>
      <c r="AF142" s="1633" t="s">
        <v>309</v>
      </c>
      <c r="AG142" s="1633"/>
      <c r="AH142" s="1633" t="str">
        <f>IF($E$142=0,"",$E$142)</f>
        <v>Тариф на водоотведение</v>
      </c>
      <c r="AI142" s="1633" t="str">
        <f>IF($G$142=0,"",$G$142)</f>
        <v/>
      </c>
      <c r="AJ142" s="1633" t="str">
        <f>IF($J$142=0,"",$J$142)</f>
        <v/>
      </c>
      <c r="AK142" s="1633" t="str">
        <f>IF($K$142="нет","без дифференциации",IF($N$142=0,"",$N$142))</f>
        <v/>
      </c>
      <c r="AL142" s="1633" t="str">
        <f>IF($O$142="нет","без дифференциации",IF($R$142=0,"",$R$142))</f>
        <v/>
      </c>
      <c r="AM142" s="1633" t="str">
        <f>IF($S$142="нет","без дифференциации",IF($V$142=0,"",$V$142))</f>
        <v/>
      </c>
      <c r="AN142" s="1633">
        <f>$I$142</f>
        <v>0</v>
      </c>
      <c r="AO142" s="1633" t="str">
        <f>$I$142&amp;"."&amp;$M$142</f>
        <v>.</v>
      </c>
      <c r="AP142" s="1633" t="str">
        <f>$I$142&amp;"."&amp;$M$142&amp;"."&amp;$Q$142</f>
        <v>..</v>
      </c>
      <c r="AQ142" s="1633" t="str">
        <f>$I$142&amp;"."&amp;$M$142&amp;"."&amp;$Q$142&amp;"."&amp;$U$142</f>
        <v>...</v>
      </c>
    </row>
    <row s="31730" customFormat="1" customHeight="1" ht="17.25" hidden="1">
      <c r="A143" s="682"/>
      <c r="C143" s="681"/>
      <c r="D143" s="2416"/>
      <c r="E143" s="2418"/>
      <c r="F143" s="2421"/>
      <c r="G143" s="2418"/>
      <c r="H143" s="2424"/>
      <c r="I143" s="2426"/>
      <c r="J143" s="2428"/>
      <c r="K143" s="2411"/>
      <c r="L143" s="2411"/>
      <c r="M143" s="2411"/>
      <c r="N143" s="2413"/>
      <c r="O143" s="2411"/>
      <c r="P143" s="2411"/>
      <c r="Q143" s="2411"/>
      <c r="R143" s="2414"/>
      <c r="S143" s="2411"/>
      <c r="T143" s="1663"/>
      <c r="U143" s="1663"/>
      <c r="V143" s="1663"/>
      <c r="W143" s="1664"/>
      <c r="Y143" s="1625"/>
      <c r="Z143" s="1625"/>
      <c r="AA143" s="1625"/>
      <c r="AB143" s="1625"/>
      <c r="AC143" s="1625"/>
      <c r="AD143" s="1625"/>
      <c r="AE143" s="1625"/>
      <c r="AF143" s="1625"/>
      <c r="AG143" s="1625"/>
      <c r="AH143" s="1625"/>
      <c r="AI143" s="1625"/>
      <c r="AJ143" s="1625"/>
      <c r="AK143" s="1625"/>
      <c r="AL143" s="1625"/>
      <c r="AM143" s="1625"/>
      <c r="AN143" s="1625"/>
      <c r="AO143" s="1625"/>
      <c r="AP143" s="1625"/>
      <c r="AQ143" s="1625"/>
    </row>
    <row s="31730" customFormat="1" customHeight="1" ht="17.25" hidden="1">
      <c r="A144" s="682"/>
      <c r="C144" s="570"/>
      <c r="D144" s="2416"/>
      <c r="E144" s="2418"/>
      <c r="F144" s="2421"/>
      <c r="G144" s="2418"/>
      <c r="H144" s="2424"/>
      <c r="I144" s="2426"/>
      <c r="J144" s="2429"/>
      <c r="K144" s="2411"/>
      <c r="L144" s="2411"/>
      <c r="M144" s="2411"/>
      <c r="N144" s="2414"/>
      <c r="O144" s="2411"/>
      <c r="P144" s="1837"/>
      <c r="Q144" s="1663"/>
      <c r="R144" s="1663"/>
      <c r="S144" s="690"/>
      <c r="T144" s="690"/>
      <c r="U144" s="690"/>
      <c r="V144" s="690"/>
      <c r="W144" s="1664"/>
      <c r="Y144" s="1633"/>
      <c r="Z144" s="1633"/>
      <c r="AA144" s="1633"/>
      <c r="AB144" s="1633"/>
      <c r="AC144" s="1633"/>
      <c r="AD144" s="1633"/>
      <c r="AE144" s="1633"/>
      <c r="AF144" s="1633"/>
      <c r="AG144" s="1633"/>
      <c r="AH144" s="1633"/>
      <c r="AI144" s="1633"/>
      <c r="AJ144" s="1633"/>
      <c r="AK144" s="1633"/>
      <c r="AL144" s="1633"/>
      <c r="AM144" s="1633"/>
      <c r="AN144" s="1633"/>
      <c r="AO144" s="1633"/>
      <c r="AP144" s="1633"/>
      <c r="AQ144" s="1633"/>
    </row>
    <row s="31730" customFormat="1" customHeight="1" ht="17.25" hidden="1">
      <c r="A145" s="682"/>
      <c r="C145" s="681"/>
      <c r="D145" s="2416"/>
      <c r="E145" s="2418"/>
      <c r="F145" s="2421"/>
      <c r="G145" s="2418"/>
      <c r="H145" s="2424"/>
      <c r="I145" s="2426"/>
      <c r="J145" s="2429"/>
      <c r="K145" s="2411"/>
      <c r="L145" s="1663"/>
      <c r="M145" s="1663"/>
      <c r="N145" s="1663"/>
      <c r="O145" s="1663"/>
      <c r="P145" s="1663"/>
      <c r="Q145" s="1663"/>
      <c r="R145" s="1663"/>
      <c r="S145" s="690"/>
      <c r="T145" s="690"/>
      <c r="U145" s="690"/>
      <c r="V145" s="690"/>
      <c r="W145" s="1664"/>
      <c r="Y145" s="1625"/>
      <c r="Z145" s="1625"/>
      <c r="AA145" s="1625"/>
      <c r="AB145" s="1625"/>
      <c r="AC145" s="1625"/>
      <c r="AD145" s="1625"/>
      <c r="AE145" s="1625"/>
      <c r="AF145" s="1625"/>
      <c r="AG145" s="1625"/>
      <c r="AH145" s="1625"/>
      <c r="AI145" s="1625"/>
      <c r="AJ145" s="1625"/>
      <c r="AK145" s="1625"/>
      <c r="AL145" s="1625"/>
      <c r="AM145" s="1625"/>
      <c r="AN145" s="1625"/>
      <c r="AO145" s="1625"/>
      <c r="AP145" s="1625"/>
      <c r="AQ145" s="1625"/>
    </row>
    <row s="31730" customFormat="1" customHeight="1" ht="17.25" hidden="1">
      <c r="A146" s="682"/>
      <c r="C146" s="681"/>
      <c r="D146" s="2417"/>
      <c r="E146" s="2419"/>
      <c r="F146" s="2422"/>
      <c r="G146" s="2419"/>
      <c r="H146" s="1665"/>
      <c r="I146" s="1666"/>
      <c r="J146" s="1666"/>
      <c r="K146" s="1666"/>
      <c r="L146" s="1666"/>
      <c r="M146" s="1666"/>
      <c r="N146" s="1666"/>
      <c r="O146" s="1666"/>
      <c r="P146" s="1666"/>
      <c r="Q146" s="1666"/>
      <c r="R146" s="1666"/>
      <c r="S146" s="1667"/>
      <c r="T146" s="1667"/>
      <c r="U146" s="1667"/>
      <c r="V146" s="1667"/>
      <c r="W146" s="1668"/>
      <c r="Y146" s="1625"/>
      <c r="Z146" s="1625"/>
      <c r="AA146" s="1625"/>
      <c r="AB146" s="1625"/>
      <c r="AC146" s="1625"/>
      <c r="AD146" s="1625"/>
      <c r="AE146" s="1625"/>
      <c r="AF146" s="1625"/>
      <c r="AG146" s="1625"/>
      <c r="AH146" s="1625"/>
      <c r="AI146" s="1625"/>
      <c r="AJ146" s="1625"/>
      <c r="AK146" s="1625"/>
      <c r="AL146" s="1625"/>
      <c r="AM146" s="1625"/>
      <c r="AN146" s="1625"/>
      <c r="AO146" s="1625"/>
      <c r="AP146" s="1625"/>
      <c r="AQ146" s="1625"/>
    </row>
    <row s="31730" customFormat="1" customHeight="1" ht="17.25" hidden="1">
      <c r="A147" s="682"/>
      <c r="C147" s="570"/>
      <c r="D147" s="2416">
        <v>2</v>
      </c>
      <c r="E147" s="2418" t="s">
        <v>310</v>
      </c>
      <c r="F147" s="2420" t="s">
        <v>56</v>
      </c>
      <c r="G147" s="2418"/>
      <c r="H147" s="2423"/>
      <c r="I147" s="2425"/>
      <c r="J147" s="2427"/>
      <c r="K147" s="2410"/>
      <c r="L147" s="2410"/>
      <c r="M147" s="2410"/>
      <c r="N147" s="2412"/>
      <c r="O147" s="2410"/>
      <c r="P147" s="2410"/>
      <c r="Q147" s="2410"/>
      <c r="R147" s="2415"/>
      <c r="S147" s="2410"/>
      <c r="T147" s="1836"/>
      <c r="U147" s="1836"/>
      <c r="V147" s="1838"/>
      <c r="W147" s="1662"/>
      <c r="X147" s="1633"/>
      <c r="Y147" s="1633"/>
      <c r="Z147" s="1633"/>
      <c r="AA147" s="1633"/>
      <c r="AB147" s="1633"/>
      <c r="AC147" s="1633" t="s">
        <v>311</v>
      </c>
      <c r="AD147" s="1633" t="s">
        <v>312</v>
      </c>
      <c r="AE147" s="1633" t="s">
        <v>313</v>
      </c>
      <c r="AF147" s="1633" t="s">
        <v>314</v>
      </c>
      <c r="AG147" s="1633"/>
      <c r="AH147" s="1633" t="str">
        <f>IF($E$147=0,"",$E$147)</f>
        <v>Тариф на транспортировку сточных вод</v>
      </c>
      <c r="AI147" s="1633" t="str">
        <f>IF($G$147=0,"",$G$147)</f>
        <v/>
      </c>
      <c r="AJ147" s="1633" t="str">
        <f>IF($J$147=0,"",$J$147)</f>
        <v/>
      </c>
      <c r="AK147" s="1633" t="str">
        <f>IF($K$147="нет","без дифференциации",IF($N$147=0,"",$N$147))</f>
        <v/>
      </c>
      <c r="AL147" s="1633" t="str">
        <f>IF($O$147="нет","без дифференциации",IF($R$147=0,"",$R$147))</f>
        <v/>
      </c>
      <c r="AM147" s="1633" t="str">
        <f>IF($S$147="нет","без дифференциации",IF($V$147=0,"",$V$147))</f>
        <v/>
      </c>
      <c r="AN147" s="2138">
        <f>$I$147</f>
        <v>0</v>
      </c>
      <c r="AO147" s="1633" t="str">
        <f>$I$147&amp;"."&amp;$M$147</f>
        <v>.</v>
      </c>
      <c r="AP147" s="1625" t="str">
        <f>$I$147&amp;"."&amp;$M$147&amp;"."&amp;$Q$147</f>
        <v>..</v>
      </c>
      <c r="AQ147" s="1625" t="str">
        <f>$I$147&amp;"."&amp;$M$147&amp;"."&amp;$Q$147&amp;"."&amp;$U$147</f>
        <v>...</v>
      </c>
    </row>
    <row s="31730" customFormat="1" customHeight="1" ht="17.25" hidden="1">
      <c r="A148" s="682"/>
      <c r="C148" s="681"/>
      <c r="D148" s="2416"/>
      <c r="E148" s="2418"/>
      <c r="F148" s="2421"/>
      <c r="G148" s="2418"/>
      <c r="H148" s="2424"/>
      <c r="I148" s="2426"/>
      <c r="J148" s="2428"/>
      <c r="K148" s="2411"/>
      <c r="L148" s="2411"/>
      <c r="M148" s="2411"/>
      <c r="N148" s="2413"/>
      <c r="O148" s="2411"/>
      <c r="P148" s="2411"/>
      <c r="Q148" s="2411"/>
      <c r="R148" s="2414"/>
      <c r="S148" s="2411"/>
      <c r="T148" s="1663"/>
      <c r="U148" s="1663"/>
      <c r="V148" s="1663"/>
      <c r="W148" s="1664"/>
      <c r="X148" s="1625"/>
      <c r="Y148" s="1625"/>
      <c r="Z148" s="1625"/>
      <c r="AA148" s="1625"/>
      <c r="AB148" s="1625"/>
      <c r="AC148" s="1625"/>
      <c r="AD148" s="1625"/>
      <c r="AE148" s="1625"/>
      <c r="AF148" s="1625"/>
      <c r="AG148" s="1625"/>
      <c r="AH148" s="1625"/>
      <c r="AI148" s="1625"/>
      <c r="AJ148" s="1625"/>
      <c r="AK148" s="1625"/>
      <c r="AL148" s="1625"/>
      <c r="AM148" s="1625"/>
      <c r="AN148" s="1625"/>
      <c r="AO148" s="1625"/>
      <c r="AP148" s="1625"/>
      <c r="AQ148" s="1625"/>
    </row>
    <row s="31730" customFormat="1" customHeight="1" ht="17.25" hidden="1">
      <c r="A149" s="682"/>
      <c r="C149" s="681"/>
      <c r="D149" s="2417"/>
      <c r="E149" s="2419"/>
      <c r="F149" s="2421"/>
      <c r="G149" s="2419"/>
      <c r="H149" s="2424"/>
      <c r="I149" s="2426"/>
      <c r="J149" s="2429"/>
      <c r="K149" s="2411"/>
      <c r="L149" s="2411"/>
      <c r="M149" s="2411"/>
      <c r="N149" s="2414"/>
      <c r="O149" s="2411"/>
      <c r="P149" s="1837"/>
      <c r="Q149" s="1663"/>
      <c r="R149" s="1663"/>
      <c r="S149" s="690"/>
      <c r="T149" s="690"/>
      <c r="U149" s="690"/>
      <c r="V149" s="690"/>
      <c r="W149" s="1664"/>
      <c r="X149" s="1625"/>
      <c r="Y149" s="1625"/>
      <c r="Z149" s="1625"/>
      <c r="AA149" s="1625"/>
      <c r="AB149" s="1625"/>
      <c r="AC149" s="1625"/>
      <c r="AD149" s="1625"/>
      <c r="AE149" s="1625"/>
      <c r="AF149" s="1625"/>
      <c r="AG149" s="1625"/>
      <c r="AH149" s="1625"/>
      <c r="AI149" s="1625"/>
      <c r="AJ149" s="1625"/>
      <c r="AK149" s="1625"/>
      <c r="AL149" s="1625"/>
      <c r="AM149" s="1625"/>
      <c r="AN149" s="1625"/>
      <c r="AO149" s="1625"/>
      <c r="AP149" s="1625"/>
      <c r="AQ149" s="1625"/>
    </row>
    <row s="31730" customFormat="1" customHeight="1" ht="17.25" hidden="1">
      <c r="A150" s="682"/>
      <c r="C150" s="681"/>
      <c r="D150" s="2417"/>
      <c r="E150" s="2419"/>
      <c r="F150" s="2421"/>
      <c r="G150" s="2419"/>
      <c r="H150" s="2424"/>
      <c r="I150" s="2426"/>
      <c r="J150" s="2429"/>
      <c r="K150" s="2411"/>
      <c r="L150" s="1663"/>
      <c r="M150" s="1663"/>
      <c r="N150" s="1663"/>
      <c r="O150" s="1663"/>
      <c r="P150" s="1663"/>
      <c r="Q150" s="1663"/>
      <c r="R150" s="1663"/>
      <c r="S150" s="690"/>
      <c r="T150" s="690"/>
      <c r="U150" s="690"/>
      <c r="V150" s="690"/>
      <c r="W150" s="1664"/>
      <c r="X150" s="1625"/>
      <c r="Y150" s="1625"/>
      <c r="Z150" s="1625"/>
      <c r="AA150" s="1625"/>
      <c r="AB150" s="1625"/>
      <c r="AC150" s="1625"/>
      <c r="AD150" s="1625"/>
      <c r="AE150" s="1625"/>
      <c r="AF150" s="1625"/>
      <c r="AG150" s="1625"/>
      <c r="AH150" s="1625"/>
      <c r="AI150" s="1625"/>
      <c r="AJ150" s="1625"/>
      <c r="AK150" s="1625"/>
      <c r="AL150" s="1625"/>
      <c r="AM150" s="1625"/>
      <c r="AN150" s="1625"/>
      <c r="AO150" s="1625"/>
      <c r="AP150" s="1625"/>
      <c r="AQ150" s="1625"/>
    </row>
    <row s="31730" customFormat="1" customHeight="1" ht="17.25" hidden="1">
      <c r="A151" s="682"/>
      <c r="C151" s="681"/>
      <c r="D151" s="2417"/>
      <c r="E151" s="2419"/>
      <c r="F151" s="2422"/>
      <c r="G151" s="2419"/>
      <c r="H151" s="1665"/>
      <c r="I151" s="1666"/>
      <c r="J151" s="1666"/>
      <c r="K151" s="1666"/>
      <c r="L151" s="1666"/>
      <c r="M151" s="1666"/>
      <c r="N151" s="1666"/>
      <c r="O151" s="1666"/>
      <c r="P151" s="1666"/>
      <c r="Q151" s="1666"/>
      <c r="R151" s="1666"/>
      <c r="S151" s="1667"/>
      <c r="T151" s="1667"/>
      <c r="U151" s="1667"/>
      <c r="V151" s="1667"/>
      <c r="W151" s="1668"/>
      <c r="X151" s="1625"/>
      <c r="Y151" s="1625"/>
      <c r="Z151" s="1625"/>
      <c r="AA151" s="1625"/>
      <c r="AB151" s="1625"/>
      <c r="AC151" s="1625"/>
      <c r="AD151" s="1625"/>
      <c r="AE151" s="1625"/>
      <c r="AF151" s="1625"/>
      <c r="AG151" s="1625"/>
      <c r="AH151" s="1625"/>
      <c r="AI151" s="1625"/>
      <c r="AJ151" s="1625"/>
      <c r="AK151" s="1625"/>
      <c r="AL151" s="1625"/>
      <c r="AM151" s="1625"/>
      <c r="AN151" s="1625"/>
      <c r="AO151" s="1625"/>
      <c r="AP151" s="1625"/>
      <c r="AQ151" s="1625"/>
    </row>
    <row s="31730" customFormat="1" customHeight="1" ht="17.25" hidden="1">
      <c r="A152" s="682"/>
      <c r="C152" s="570"/>
      <c r="D152" s="2416">
        <v>3</v>
      </c>
      <c r="E152" s="2418" t="s">
        <v>315</v>
      </c>
      <c r="F152" s="2420" t="s">
        <v>56</v>
      </c>
      <c r="G152" s="2418"/>
      <c r="H152" s="2423"/>
      <c r="I152" s="2425"/>
      <c r="J152" s="2427"/>
      <c r="K152" s="2410"/>
      <c r="L152" s="2410"/>
      <c r="M152" s="2410"/>
      <c r="N152" s="2412"/>
      <c r="O152" s="2410"/>
      <c r="P152" s="2410"/>
      <c r="Q152" s="2410"/>
      <c r="R152" s="2415"/>
      <c r="S152" s="2410"/>
      <c r="T152" s="2310"/>
      <c r="U152" s="2310"/>
      <c r="V152" s="2312"/>
      <c r="W152" s="1662"/>
      <c r="X152" s="1633"/>
      <c r="Y152" s="1633"/>
      <c r="Z152" s="1633"/>
      <c r="AA152" s="1633"/>
      <c r="AB152" s="1633"/>
      <c r="AC152" s="1633" t="s">
        <v>316</v>
      </c>
      <c r="AD152" s="1633" t="s">
        <v>317</v>
      </c>
      <c r="AE152" s="1633" t="s">
        <v>318</v>
      </c>
      <c r="AF152" s="1633" t="s">
        <v>319</v>
      </c>
      <c r="AG152" s="1633"/>
      <c r="AH152" s="1633" t="str">
        <f>IF($E$152=0,"",$E$152)</f>
        <v>Тариф на подключение (технологическое присоединение) к централизованной системе водоотведения</v>
      </c>
      <c r="AI152" s="1633" t="str">
        <f>IF($G$152=0,"",$G$152)</f>
        <v/>
      </c>
      <c r="AJ152" s="1633" t="str">
        <f>IF($J$152=0,"",$J$152)</f>
        <v/>
      </c>
      <c r="AK152" s="1633" t="str">
        <f>IF($K$152="нет","без дифференциации",IF($N$152=0,"",$N$152))</f>
        <v/>
      </c>
      <c r="AL152" s="1633" t="str">
        <f>IF($O$152="нет","без дифференциации",IF($R$152=0,"",$R$152))</f>
        <v/>
      </c>
      <c r="AM152" s="1633" t="str">
        <f>IF($S$152="нет","без дифференциации",IF($V$152=0,"",$V$152))</f>
        <v/>
      </c>
      <c r="AN152" s="2138">
        <f>$I$152</f>
        <v>0</v>
      </c>
      <c r="AO152" s="1633" t="str">
        <f>$I$152&amp;"."&amp;$M$152</f>
        <v>.</v>
      </c>
      <c r="AP152" s="1632" t="str">
        <f>$I$152&amp;"."&amp;$M$152&amp;"."&amp;$Q$152</f>
        <v>..</v>
      </c>
      <c r="AQ152" s="1632" t="str">
        <f>$I$152&amp;"."&amp;$M$152&amp;"."&amp;$Q$152&amp;"."&amp;$U$152</f>
        <v>...</v>
      </c>
    </row>
    <row s="31730" customFormat="1" customHeight="1" ht="17.25" hidden="1">
      <c r="A153" s="682"/>
      <c r="C153" s="681"/>
      <c r="D153" s="2416"/>
      <c r="E153" s="2418"/>
      <c r="F153" s="2421"/>
      <c r="G153" s="2418"/>
      <c r="H153" s="2424"/>
      <c r="I153" s="2426"/>
      <c r="J153" s="2428"/>
      <c r="K153" s="2411"/>
      <c r="L153" s="2411"/>
      <c r="M153" s="2411"/>
      <c r="N153" s="2413"/>
      <c r="O153" s="2411"/>
      <c r="P153" s="2411"/>
      <c r="Q153" s="2411"/>
      <c r="R153" s="2414"/>
      <c r="S153" s="2411"/>
      <c r="T153" s="2315"/>
      <c r="U153" s="2315"/>
      <c r="V153" s="2315"/>
      <c r="W153" s="2316"/>
      <c r="X153" s="1632"/>
      <c r="Y153" s="1632"/>
      <c r="Z153" s="1632"/>
      <c r="AA153" s="1632"/>
      <c r="AB153" s="1632"/>
      <c r="AC153" s="1632"/>
      <c r="AD153" s="1632"/>
      <c r="AE153" s="1632"/>
      <c r="AF153" s="1632"/>
      <c r="AG153" s="1632"/>
      <c r="AH153" s="1632"/>
      <c r="AI153" s="1632"/>
      <c r="AJ153" s="1632"/>
      <c r="AK153" s="1632"/>
      <c r="AL153" s="1632"/>
      <c r="AM153" s="1632"/>
      <c r="AN153" s="1632"/>
      <c r="AO153" s="1632"/>
      <c r="AP153" s="1632"/>
      <c r="AQ153" s="1632"/>
    </row>
    <row s="31730" customFormat="1" customHeight="1" ht="17.25" hidden="1">
      <c r="A154" s="682"/>
      <c r="C154" s="681"/>
      <c r="D154" s="2417"/>
      <c r="E154" s="2419"/>
      <c r="F154" s="2421"/>
      <c r="G154" s="2419"/>
      <c r="H154" s="2424"/>
      <c r="I154" s="2426"/>
      <c r="J154" s="2429"/>
      <c r="K154" s="2411"/>
      <c r="L154" s="2411"/>
      <c r="M154" s="2411"/>
      <c r="N154" s="2414"/>
      <c r="O154" s="2411"/>
      <c r="P154" s="2311"/>
      <c r="Q154" s="2315"/>
      <c r="R154" s="2315"/>
      <c r="S154" s="690"/>
      <c r="T154" s="690"/>
      <c r="U154" s="690"/>
      <c r="V154" s="690"/>
      <c r="W154" s="2316"/>
      <c r="X154" s="1632"/>
      <c r="Y154" s="1632"/>
      <c r="Z154" s="1632"/>
      <c r="AA154" s="1632"/>
      <c r="AB154" s="1632"/>
      <c r="AC154" s="1632"/>
      <c r="AD154" s="1632"/>
      <c r="AE154" s="1632"/>
      <c r="AF154" s="1632"/>
      <c r="AG154" s="1632"/>
      <c r="AH154" s="1632"/>
      <c r="AI154" s="1632"/>
      <c r="AJ154" s="1632"/>
      <c r="AK154" s="1632"/>
      <c r="AL154" s="1632"/>
      <c r="AM154" s="1632"/>
      <c r="AN154" s="1632"/>
      <c r="AO154" s="1632"/>
      <c r="AP154" s="1632"/>
      <c r="AQ154" s="1632"/>
    </row>
    <row s="31730" customFormat="1" customHeight="1" ht="17.25" hidden="1">
      <c r="A155" s="682"/>
      <c r="C155" s="681"/>
      <c r="D155" s="2417"/>
      <c r="E155" s="2419"/>
      <c r="F155" s="2421"/>
      <c r="G155" s="2419"/>
      <c r="H155" s="2424"/>
      <c r="I155" s="2426"/>
      <c r="J155" s="2429"/>
      <c r="K155" s="2411"/>
      <c r="L155" s="2315"/>
      <c r="M155" s="2315"/>
      <c r="N155" s="2315"/>
      <c r="O155" s="2315"/>
      <c r="P155" s="2315"/>
      <c r="Q155" s="2315"/>
      <c r="R155" s="2315"/>
      <c r="S155" s="690"/>
      <c r="T155" s="690"/>
      <c r="U155" s="690"/>
      <c r="V155" s="690"/>
      <c r="W155" s="2316"/>
      <c r="X155" s="1632"/>
      <c r="Y155" s="1632"/>
      <c r="Z155" s="1632"/>
      <c r="AA155" s="1632"/>
      <c r="AB155" s="1632"/>
      <c r="AC155" s="1632"/>
      <c r="AD155" s="1632"/>
      <c r="AE155" s="1632"/>
      <c r="AF155" s="1632"/>
      <c r="AG155" s="1632"/>
      <c r="AH155" s="1632"/>
      <c r="AI155" s="1632"/>
      <c r="AJ155" s="1632"/>
      <c r="AK155" s="1632"/>
      <c r="AL155" s="1632"/>
      <c r="AM155" s="1632"/>
      <c r="AN155" s="1632"/>
      <c r="AO155" s="1632"/>
      <c r="AP155" s="1632"/>
      <c r="AQ155" s="1632"/>
    </row>
    <row s="31730" customFormat="1" customHeight="1" ht="17.25" hidden="1">
      <c r="A156" s="682"/>
      <c r="C156" s="681"/>
      <c r="D156" s="2417"/>
      <c r="E156" s="2419"/>
      <c r="F156" s="2422"/>
      <c r="G156" s="2419"/>
      <c r="H156" s="1665"/>
      <c r="I156" s="2313"/>
      <c r="J156" s="2313"/>
      <c r="K156" s="2313"/>
      <c r="L156" s="2313"/>
      <c r="M156" s="2313"/>
      <c r="N156" s="2313"/>
      <c r="O156" s="2313"/>
      <c r="P156" s="2313"/>
      <c r="Q156" s="2313"/>
      <c r="R156" s="2313"/>
      <c r="S156" s="1667"/>
      <c r="T156" s="1667"/>
      <c r="U156" s="1667"/>
      <c r="V156" s="1667"/>
      <c r="W156" s="2314"/>
      <c r="X156" s="1632"/>
      <c r="Y156" s="1632"/>
      <c r="Z156" s="1632"/>
      <c r="AA156" s="1632"/>
      <c r="AB156" s="1632"/>
      <c r="AC156" s="1632"/>
      <c r="AD156" s="1632"/>
      <c r="AE156" s="1632"/>
      <c r="AF156" s="1632"/>
      <c r="AG156" s="1632"/>
      <c r="AH156" s="1632"/>
      <c r="AI156" s="1632"/>
      <c r="AJ156" s="1632"/>
      <c r="AK156" s="1632"/>
      <c r="AL156" s="1632"/>
      <c r="AM156" s="1632"/>
      <c r="AN156" s="1632"/>
      <c r="AO156" s="1632"/>
      <c r="AP156" s="1632"/>
      <c r="AQ156" s="1632"/>
    </row>
    <row r="160" customHeight="1" ht="11.25">
      <c r="E160" s="1716"/>
    </row>
    <row customHeight="1" ht="11.25">
      <c r="E161" s="1716"/>
    </row>
    <row customHeight="1" ht="11.25">
      <c r="E162" s="1716"/>
    </row>
    <row customHeight="1" ht="11.25">
      <c r="E163" s="1716"/>
    </row>
    <row customHeight="1" ht="11.25">
      <c r="E164" s="1716"/>
    </row>
    <row customHeight="1" ht="11.25">
      <c r="E165" s="1716"/>
    </row>
    <row customHeight="1" ht="11.25">
      <c r="E166" s="1716"/>
    </row>
  </sheetData>
  <sheetProtection formatColumns="0" formatRows="0" autoFilter="0" sort="0" insertRows="0" insertColumns="1" deleteRows="0" deleteColumns="0"/>
  <mergeCells count="444">
    <mergeCell ref="D53:D57"/>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E53:E57"/>
    <mergeCell ref="F53:F57"/>
    <mergeCell ref="G53:G57"/>
    <mergeCell ref="H53:H56"/>
    <mergeCell ref="I53:I56"/>
    <mergeCell ref="J53:J56"/>
    <mergeCell ref="K53:K56"/>
    <mergeCell ref="L53:L55"/>
    <mergeCell ref="M89:M9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R13:R14"/>
    <mergeCell ref="S13:S14"/>
    <mergeCell ref="M43:M45"/>
    <mergeCell ref="N43:N45"/>
    <mergeCell ref="O43:O45"/>
    <mergeCell ref="N33:N35"/>
    <mergeCell ref="D100:D130"/>
    <mergeCell ref="E100:E130"/>
    <mergeCell ref="F100:F130"/>
    <mergeCell ref="G100:G130"/>
    <mergeCell ref="P48:P49"/>
    <mergeCell ref="Q48:Q49"/>
    <mergeCell ref="R48:R49"/>
    <mergeCell ref="S48:S49"/>
    <mergeCell ref="P43:P44"/>
    <mergeCell ref="Q43:Q44"/>
    <mergeCell ref="R43:R44"/>
    <mergeCell ref="S43:S44"/>
    <mergeCell ref="S23:S24"/>
    <mergeCell ref="S142:S143"/>
    <mergeCell ref="D142:D146"/>
    <mergeCell ref="E142:E146"/>
    <mergeCell ref="F142:F146"/>
    <mergeCell ref="G142:G146"/>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O142:O144"/>
    <mergeCell ref="M147:M149"/>
    <mergeCell ref="N147:N149"/>
    <mergeCell ref="O147:O149"/>
    <mergeCell ref="P142:P143"/>
    <mergeCell ref="Q142:Q143"/>
    <mergeCell ref="R142:R143"/>
    <mergeCell ref="P147:P148"/>
    <mergeCell ref="Q147:Q148"/>
    <mergeCell ref="R147:R148"/>
    <mergeCell ref="F94:F98"/>
    <mergeCell ref="G94:G98"/>
    <mergeCell ref="H94:H97"/>
    <mergeCell ref="I94:I97"/>
    <mergeCell ref="J94:J97"/>
    <mergeCell ref="K94:K97"/>
    <mergeCell ref="L94:L96"/>
    <mergeCell ref="S147:S148"/>
    <mergeCell ref="D147:D151"/>
    <mergeCell ref="E147:E151"/>
    <mergeCell ref="F147:F151"/>
    <mergeCell ref="G147:G151"/>
    <mergeCell ref="H147:H150"/>
    <mergeCell ref="I147:I150"/>
    <mergeCell ref="J147:J150"/>
    <mergeCell ref="K147:K150"/>
    <mergeCell ref="L147:L149"/>
    <mergeCell ref="H142:H145"/>
    <mergeCell ref="I142:I145"/>
    <mergeCell ref="J142:J145"/>
    <mergeCell ref="K142:K145"/>
    <mergeCell ref="L142:L144"/>
    <mergeCell ref="M142:M144"/>
    <mergeCell ref="N142:N144"/>
    <mergeCell ref="N94:N96"/>
    <mergeCell ref="O94:O96"/>
    <mergeCell ref="P94:P95"/>
    <mergeCell ref="Q94:Q95"/>
    <mergeCell ref="R94:R95"/>
    <mergeCell ref="S94:S95"/>
    <mergeCell ref="D136:D140"/>
    <mergeCell ref="E136:E140"/>
    <mergeCell ref="F136:F140"/>
    <mergeCell ref="G136:G140"/>
    <mergeCell ref="H136:H139"/>
    <mergeCell ref="I136:I139"/>
    <mergeCell ref="J136:J139"/>
    <mergeCell ref="K136:K139"/>
    <mergeCell ref="L136:L138"/>
    <mergeCell ref="M136:M138"/>
    <mergeCell ref="N136:N138"/>
    <mergeCell ref="O136:O138"/>
    <mergeCell ref="P136:P137"/>
    <mergeCell ref="Q136:Q137"/>
    <mergeCell ref="R136:R137"/>
    <mergeCell ref="S136:S137"/>
    <mergeCell ref="D94:D98"/>
    <mergeCell ref="E94:E98"/>
    <mergeCell ref="M152:M154"/>
    <mergeCell ref="N152:N154"/>
    <mergeCell ref="O152:O154"/>
    <mergeCell ref="P152:P153"/>
    <mergeCell ref="Q152:Q153"/>
    <mergeCell ref="R152:R153"/>
    <mergeCell ref="S152:S153"/>
    <mergeCell ref="D152:D156"/>
    <mergeCell ref="E152:E156"/>
    <mergeCell ref="F152:F156"/>
    <mergeCell ref="G152:G156"/>
    <mergeCell ref="H152:H155"/>
    <mergeCell ref="I152:I155"/>
    <mergeCell ref="J152:J155"/>
    <mergeCell ref="K152:K155"/>
    <mergeCell ref="L152:L154"/>
    <mergeCell ref="W100:W101"/>
    <mergeCell ref="O100:O102"/>
    <mergeCell ref="P100:P101"/>
    <mergeCell ref="Q100:Q101"/>
    <mergeCell ref="R100:R101"/>
    <mergeCell ref="H100:H109"/>
    <mergeCell ref="I100:I109"/>
    <mergeCell ref="J100:J109"/>
    <mergeCell ref="K100:K109"/>
    <mergeCell ref="L100:L102"/>
    <mergeCell ref="S100:S101"/>
    <mergeCell ref="M100:M102"/>
    <mergeCell ref="N100:N102"/>
    <mergeCell ref="W110:W111"/>
    <mergeCell ref="L110:L112"/>
    <mergeCell ref="M110:M112"/>
    <mergeCell ref="N110:N112"/>
    <mergeCell ref="O110:O112"/>
    <mergeCell ref="P110:P111"/>
    <mergeCell ref="Q110:Q111"/>
    <mergeCell ref="R110:R111"/>
    <mergeCell ref="S110:S111"/>
    <mergeCell ref="H110:H119"/>
    <mergeCell ref="I110:I119"/>
    <mergeCell ref="J110:J119"/>
    <mergeCell ref="K110:K119"/>
    <mergeCell ref="W120:W121"/>
    <mergeCell ref="L120:L122"/>
    <mergeCell ref="M120:M122"/>
    <mergeCell ref="N120:N122"/>
    <mergeCell ref="O120:O122"/>
    <mergeCell ref="P120:P121"/>
    <mergeCell ref="Q120:Q121"/>
    <mergeCell ref="R120:R121"/>
    <mergeCell ref="S120:S121"/>
    <mergeCell ref="H120:H129"/>
    <mergeCell ref="I120:I129"/>
    <mergeCell ref="J120:J129"/>
    <mergeCell ref="K120:K129"/>
    <mergeCell ref="L103:L105"/>
    <mergeCell ref="M103:M105"/>
    <mergeCell ref="N103:N105"/>
    <mergeCell ref="O103:O105"/>
    <mergeCell ref="P103:P104"/>
    <mergeCell ref="Q103:Q104"/>
    <mergeCell ref="R103:R104"/>
    <mergeCell ref="S103:S104"/>
    <mergeCell ref="W103:W104"/>
    <mergeCell ref="L106:L108"/>
    <mergeCell ref="M106:M108"/>
    <mergeCell ref="N106:N108"/>
    <mergeCell ref="O106:O108"/>
    <mergeCell ref="P106:P107"/>
    <mergeCell ref="Q106:Q107"/>
    <mergeCell ref="R106:R107"/>
    <mergeCell ref="S106:S107"/>
    <mergeCell ref="W106:W107"/>
    <mergeCell ref="L113:L115"/>
    <mergeCell ref="M113:M115"/>
    <mergeCell ref="N113:N115"/>
    <mergeCell ref="O113:O115"/>
    <mergeCell ref="P113:P114"/>
    <mergeCell ref="Q113:Q114"/>
    <mergeCell ref="R113:R114"/>
    <mergeCell ref="S113:S114"/>
    <mergeCell ref="W113:W114"/>
    <mergeCell ref="L116:L118"/>
    <mergeCell ref="M116:M118"/>
    <mergeCell ref="N116:N118"/>
    <mergeCell ref="O116:O118"/>
    <mergeCell ref="P116:P117"/>
    <mergeCell ref="Q116:Q117"/>
    <mergeCell ref="R116:R117"/>
    <mergeCell ref="S116:S117"/>
    <mergeCell ref="W116:W117"/>
    <mergeCell ref="L123:L125"/>
    <mergeCell ref="M123:M125"/>
    <mergeCell ref="N123:N125"/>
    <mergeCell ref="O123:O125"/>
    <mergeCell ref="P123:P124"/>
    <mergeCell ref="Q123:Q124"/>
    <mergeCell ref="R123:R124"/>
    <mergeCell ref="S123:S124"/>
    <mergeCell ref="W123:W124"/>
    <mergeCell ref="L126:L128"/>
    <mergeCell ref="M126:M128"/>
    <mergeCell ref="N126:N128"/>
    <mergeCell ref="O126:O128"/>
    <mergeCell ref="P126:P127"/>
    <mergeCell ref="Q126:Q127"/>
    <mergeCell ref="R126:R127"/>
    <mergeCell ref="S126:S127"/>
    <mergeCell ref="W126:W127"/>
  </mergeCells>
  <dataValidations count="167">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31:O132 S131:S132 K131:K132 S94:S95 K147:K148 O147:O148 K142:K143 O142:O143 S147:S148 O136:O137 S142:S143 O53:O54 S53:S54 K53:K54 K58:K59 O58:O59 S58:S59 F74:F98 K94:K95 O94:O95 F100:F102 F109 F130:F140 S136:S137 K136:K137 F142:F156 S152:S153 K152:K153 O152:O153"/>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31:J132 R131:R132 V131:W131 J147:J148 R147:R148 V147:W147 J142:J143 R142:R143 V142:W142 J53:J54 R53:R54 V53:W53 J58:J59 R58:R59 V58:W58 J94:J95 R94:R95 V94:W94 J136:J137 R136:R137 V136:W136 J152:J153 R152:R153 V152:W152">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31:N133 N147:N149 N142:N144 N53:N55 N58:N60 N94:N96 N136:N138 N152:N154">
      <formula1>DESCRIPTION_TERRITORY</formula1>
    </dataValidation>
    <dataValidation allowBlank="1" showInputMessage="1" showErrorMessage="1" prompt="Выберите виды деятельности, выполнив двойной щелчок левой кнопки мыши по ячейке." sqref="G100:G102 G109 G130:G140 G13:G62 G74:G98 G142:G156"/>
    <dataValidation type="textLength" operator="lessThanOrEqual" allowBlank="1" showInputMessage="1" showErrorMessage="1" errorTitle="Ошибка" error="Допускается ввод не более 900 символов!" sqref="J100">
      <formula1>900</formula1>
    </dataValidation>
    <dataValidation allowBlank="1" showInputMessage="1" showErrorMessage="1" prompt="Для выбора выполните двойной щелчок левой клавиши мыши по соответствующей ячейке." sqref="K1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allowBlank="1" showInputMessage="1" showErrorMessage="1" prompt="Для выбора выполните двойной щелчок левой клавиши мыши по соответствующей ячейке." sqref="O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Для выбора выполните двойной щелчок левой клавиши мыши по соответствующей ячейке." sqref="S100"/>
    <dataValidation type="textLength" operator="lessThanOrEqual" allowBlank="1" showInputMessage="1" showErrorMessage="1" errorTitle="Ошибка" error="Допускается ввод не более 900 символов!" sqref="V100">
      <formula1>900</formula1>
    </dataValidation>
    <dataValidation type="textLength" operator="lessThanOrEqual" allowBlank="1" showInputMessage="1" showErrorMessage="1" errorTitle="Ошибка" error="Допускается ввод не более 900 символов!" sqref="W100">
      <formula1>900</formula1>
    </dataValidation>
    <dataValidation type="textLength" operator="lessThanOrEqual" allowBlank="1" showInputMessage="1" showErrorMessage="1" errorTitle="Ошибка" error="Допускается ввод не более 900 символов!" sqref="J10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 type="textLength" operator="lessThanOrEqual" allowBlank="1" showInputMessage="1" showErrorMessage="1" errorTitle="Ошибка" error="Допускается ввод не более 900 символов!" sqref="R101">
      <formula1>900</formula1>
    </dataValidation>
    <dataValidation allowBlank="1" showInputMessage="1" showErrorMessage="1" prompt="Для выбора выполните двойной щелчок левой клавиши мыши по соответствующей ячейке." sqref="S10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2"/>
    <dataValidation allowBlank="1" showInputMessage="1" showErrorMessage="1" prompt="Для выбора выполните двойной щелчок левой клавиши мыши по соответствующей ячейке." sqref="F110"/>
    <dataValidation allowBlank="1" showInputMessage="1" showErrorMessage="1" prompt="Выберите виды деятельности, выполнив двойной щелчок левой кнопки мыши по ячейке." sqref="G110"/>
    <dataValidation type="textLength" operator="lessThanOrEqual" allowBlank="1" showInputMessage="1" showErrorMessage="1" errorTitle="Ошибка" error="Допускается ввод не более 900 символов!" sqref="J110">
      <formula1>900</formula1>
    </dataValidation>
    <dataValidation allowBlank="1" showInputMessage="1" showErrorMessage="1" prompt="Для выбора выполните двойной щелчок левой клавиши мыши по соответствующей ячейке." sqref="K11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0"/>
    <dataValidation allowBlank="1" showInputMessage="1" showErrorMessage="1" prompt="Для выбора выполните двойной щелчок левой клавиши мыши по соответствующей ячейке." sqref="O110"/>
    <dataValidation type="textLength" operator="lessThanOrEqual" allowBlank="1" showInputMessage="1" showErrorMessage="1" errorTitle="Ошибка" error="Допускается ввод не более 900 символов!" sqref="R110">
      <formula1>900</formula1>
    </dataValidation>
    <dataValidation allowBlank="1" showInputMessage="1" showErrorMessage="1" prompt="Для выбора выполните двойной щелчок левой клавиши мыши по соответствующей ячейке." sqref="S110"/>
    <dataValidation type="textLength" operator="lessThanOrEqual" allowBlank="1" showInputMessage="1" showErrorMessage="1" errorTitle="Ошибка" error="Допускается ввод не более 900 символов!" sqref="V110">
      <formula1>900</formula1>
    </dataValidation>
    <dataValidation type="textLength" operator="lessThanOrEqual" allowBlank="1" showInputMessage="1" showErrorMessage="1" errorTitle="Ошибка" error="Допускается ввод не более 900 символов!" sqref="W110">
      <formula1>900</formula1>
    </dataValidation>
    <dataValidation allowBlank="1" showInputMessage="1" showErrorMessage="1" prompt="Для выбора выполните двойной щелчок левой клавиши мыши по соответствующей ячейке." sqref="F111"/>
    <dataValidation allowBlank="1" showInputMessage="1" showErrorMessage="1" prompt="Выберите виды деятельности, выполнив двойной щелчок левой кнопки мыши по ячейке." sqref="G111"/>
    <dataValidation type="textLength" operator="lessThanOrEqual" allowBlank="1" showInputMessage="1" showErrorMessage="1" errorTitle="Ошибка" error="Допускается ввод не более 900 символов!" sqref="J11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1"/>
    <dataValidation type="textLength" operator="lessThanOrEqual" allowBlank="1" showInputMessage="1" showErrorMessage="1" errorTitle="Ошибка" error="Допускается ввод не более 900 символов!" sqref="R111">
      <formula1>900</formula1>
    </dataValidation>
    <dataValidation allowBlank="1" showInputMessage="1" showErrorMessage="1" prompt="Для выбора выполните двойной щелчок левой клавиши мыши по соответствующей ячейке." sqref="S111"/>
    <dataValidation allowBlank="1" showInputMessage="1" showErrorMessage="1" prompt="Для выбора выполните двойной щелчок левой клавиши мыши по соответствующей ячейке." sqref="F112"/>
    <dataValidation allowBlank="1" showInputMessage="1" showErrorMessage="1" prompt="Выберите виды деятельности, выполнив двойной щелчок левой кнопки мыши по ячейке." sqref="G11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2"/>
    <dataValidation allowBlank="1" showInputMessage="1" showErrorMessage="1" prompt="Для выбора выполните двойной щелчок левой клавиши мыши по соответствующей ячейке." sqref="F119"/>
    <dataValidation allowBlank="1" showInputMessage="1" showErrorMessage="1" prompt="Выберите виды деятельности, выполнив двойной щелчок левой кнопки мыши по ячейке." sqref="G119"/>
    <dataValidation allowBlank="1" showInputMessage="1" showErrorMessage="1" prompt="Для выбора выполните двойной щелчок левой клавиши мыши по соответствующей ячейке." sqref="F120"/>
    <dataValidation allowBlank="1" showInputMessage="1" showErrorMessage="1" prompt="Выберите виды деятельности, выполнив двойной щелчок левой кнопки мыши по ячейке." sqref="G120"/>
    <dataValidation type="textLength" operator="lessThanOrEqual" allowBlank="1" showInputMessage="1" showErrorMessage="1" errorTitle="Ошибка" error="Допускается ввод не более 900 символов!" sqref="J120">
      <formula1>900</formula1>
    </dataValidation>
    <dataValidation allowBlank="1" showInputMessage="1" showErrorMessage="1" prompt="Для выбора выполните двойной щелчок левой клавиши мыши по соответствующей ячейке." sqref="K12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0"/>
    <dataValidation allowBlank="1" showInputMessage="1" showErrorMessage="1" prompt="Для выбора выполните двойной щелчок левой клавиши мыши по соответствующей ячейке." sqref="O120"/>
    <dataValidation type="textLength" operator="lessThanOrEqual" allowBlank="1" showInputMessage="1" showErrorMessage="1" errorTitle="Ошибка" error="Допускается ввод не более 900 символов!" sqref="R120">
      <formula1>900</formula1>
    </dataValidation>
    <dataValidation allowBlank="1" showInputMessage="1" showErrorMessage="1" prompt="Для выбора выполните двойной щелчок левой клавиши мыши по соответствующей ячейке." sqref="S120"/>
    <dataValidation type="textLength" operator="lessThanOrEqual" allowBlank="1" showInputMessage="1" showErrorMessage="1" errorTitle="Ошибка" error="Допускается ввод не более 900 символов!" sqref="V120">
      <formula1>900</formula1>
    </dataValidation>
    <dataValidation type="textLength" operator="lessThanOrEqual" allowBlank="1" showInputMessage="1" showErrorMessage="1" errorTitle="Ошибка" error="Допускается ввод не более 900 символов!" sqref="W120">
      <formula1>900</formula1>
    </dataValidation>
    <dataValidation allowBlank="1" showInputMessage="1" showErrorMessage="1" prompt="Для выбора выполните двойной щелчок левой клавиши мыши по соответствующей ячейке." sqref="F121"/>
    <dataValidation allowBlank="1" showInputMessage="1" showErrorMessage="1" prompt="Выберите виды деятельности, выполнив двойной щелчок левой кнопки мыши по ячейке." sqref="G121"/>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allowBlank="1" showInputMessage="1" showErrorMessage="1" prompt="Для выбора выполните двойной щелчок левой клавиши мыши по соответствующей ячейке." sqref="F122"/>
    <dataValidation allowBlank="1" showInputMessage="1" showErrorMessage="1" prompt="Выберите виды деятельности, выполнив двойной щелчок левой кнопки мыши по ячейке." sqref="G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allowBlank="1" showInputMessage="1" showErrorMessage="1" prompt="Для выбора выполните двойной щелчок левой клавиши мыши по соответствующей ячейке." sqref="F129"/>
    <dataValidation allowBlank="1" showInputMessage="1" showErrorMessage="1" prompt="Выберите виды деятельности, выполнив двойной щелчок левой кнопки мыши по ячейке." sqref="G129"/>
    <dataValidation allowBlank="1" showInputMessage="1" showErrorMessage="1" prompt="Для выбора выполните двойной щелчок левой клавиши мыши по соответствующей ячейке." sqref="F103"/>
    <dataValidation allowBlank="1" showInputMessage="1" showErrorMessage="1" prompt="Выберите виды деятельности, выполнив двойной щелчок левой кнопки мыши по ячейке." sqref="G103"/>
    <dataValidation type="textLength" operator="lessThanOrEqual" allowBlank="1" showInputMessage="1" showErrorMessage="1" errorTitle="Ошибка" error="Допускается ввод не более 900 символов!" sqref="J10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3"/>
    <dataValidation allowBlank="1" showInputMessage="1" showErrorMessage="1" prompt="Для выбора выполните двойной щелчок левой клавиши мыши по соответствующей ячейке." sqref="O103"/>
    <dataValidation type="textLength" operator="lessThanOrEqual" allowBlank="1" showInputMessage="1" showErrorMessage="1" errorTitle="Ошибка" error="Допускается ввод не более 900 символов!" sqref="R103">
      <formula1>900</formula1>
    </dataValidation>
    <dataValidation allowBlank="1" showInputMessage="1" showErrorMessage="1" prompt="Для выбора выполните двойной щелчок левой клавиши мыши по соответствующей ячейке." sqref="S103"/>
    <dataValidation type="textLength" operator="lessThanOrEqual" allowBlank="1" showInputMessage="1" showErrorMessage="1" errorTitle="Ошибка" error="Допускается ввод не более 900 символов!" sqref="V103">
      <formula1>900</formula1>
    </dataValidation>
    <dataValidation type="textLength" operator="lessThanOrEqual" allowBlank="1" showInputMessage="1" showErrorMessage="1" errorTitle="Ошибка" error="Допускается ввод не более 900 символов!" sqref="W103">
      <formula1>900</formula1>
    </dataValidation>
    <dataValidation allowBlank="1" showInputMessage="1" showErrorMessage="1" prompt="Для выбора выполните двойной щелчок левой клавиши мыши по соответствующей ячейке." sqref="F104"/>
    <dataValidation allowBlank="1" showInputMessage="1" showErrorMessage="1" prompt="Выберите виды деятельности, выполнив двойной щелчок левой кнопки мыши по ячейке." sqref="G104"/>
    <dataValidation type="textLength" operator="lessThanOrEqual" allowBlank="1" showInputMessage="1" showErrorMessage="1" errorTitle="Ошибка" error="Допускается ввод не более 900 символов!" sqref="J10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4"/>
    <dataValidation type="textLength" operator="lessThanOrEqual" allowBlank="1" showInputMessage="1" showErrorMessage="1" errorTitle="Ошибка" error="Допускается ввод не более 900 символов!" sqref="R104">
      <formula1>900</formula1>
    </dataValidation>
    <dataValidation allowBlank="1" showInputMessage="1" showErrorMessage="1" prompt="Для выбора выполните двойной щелчок левой клавиши мыши по соответствующей ячейке." sqref="S104"/>
    <dataValidation allowBlank="1" showInputMessage="1" showErrorMessage="1" prompt="Для выбора выполните двойной щелчок левой клавиши мыши по соответствующей ячейке." sqref="F105"/>
    <dataValidation allowBlank="1" showInputMessage="1" showErrorMessage="1" prompt="Выберите виды деятельности, выполнив двойной щелчок левой кнопки мыши по ячейке." sqref="G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F106"/>
    <dataValidation allowBlank="1" showInputMessage="1" showErrorMessage="1" prompt="Выберите виды деятельности, выполнив двойной щелчок левой кнопки мыши по ячейке." sqref="G106"/>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allowBlank="1" showInputMessage="1" showErrorMessage="1" prompt="Для выбора выполните двойной щелчок левой клавиши мыши по соответствующей ячейке." sqref="O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V106">
      <formula1>900</formula1>
    </dataValidation>
    <dataValidation type="textLength" operator="lessThanOrEqual" allowBlank="1" showInputMessage="1" showErrorMessage="1" errorTitle="Ошибка" error="Допускается ввод не более 900 символов!" sqref="W106">
      <formula1>900</formula1>
    </dataValidation>
    <dataValidation allowBlank="1" showInputMessage="1" showErrorMessage="1" prompt="Для выбора выполните двойной щелчок левой клавиши мыши по соответствующей ячейке." sqref="F107"/>
    <dataValidation allowBlank="1" showInputMessage="1" showErrorMessage="1" prompt="Выберите виды деятельности, выполнив двойной щелчок левой кнопки мыши по ячейке." sqref="G107"/>
    <dataValidation type="textLength" operator="lessThanOrEqual" allowBlank="1" showInputMessage="1" showErrorMessage="1" errorTitle="Ошибка" error="Допускается ввод не более 900 символов!" sqref="J10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type="textLength" operator="lessThanOrEqual" allowBlank="1" showInputMessage="1" showErrorMessage="1" errorTitle="Ошибка" error="Допускается ввод не более 900 символов!" sqref="R107">
      <formula1>900</formula1>
    </dataValidation>
    <dataValidation allowBlank="1" showInputMessage="1" showErrorMessage="1" prompt="Для выбора выполните двойной щелчок левой клавиши мыши по соответствующей ячейке." sqref="S107"/>
    <dataValidation allowBlank="1" showInputMessage="1" showErrorMessage="1" prompt="Для выбора выполните двойной щелчок левой клавиши мыши по соответствующей ячейке." sqref="F108"/>
    <dataValidation allowBlank="1" showInputMessage="1" showErrorMessage="1" prompt="Выберите виды деятельности, выполнив двойной щелчок левой кнопки мыши по ячейке." sqref="G10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8"/>
    <dataValidation allowBlank="1" showInputMessage="1" showErrorMessage="1" prompt="Для выбора выполните двойной щелчок левой клавиши мыши по соответствующей ячейке." sqref="F113"/>
    <dataValidation allowBlank="1" showInputMessage="1" showErrorMessage="1" prompt="Выберите виды деятельности, выполнив двойной щелчок левой кнопки мыши по ячейке." sqref="G113"/>
    <dataValidation type="textLength" operator="lessThanOrEqual" allowBlank="1" showInputMessage="1" showErrorMessage="1" errorTitle="Ошибка" error="Допускается ввод не более 900 символов!" sqref="J11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3"/>
    <dataValidation allowBlank="1" showInputMessage="1" showErrorMessage="1" prompt="Для выбора выполните двойной щелчок левой клавиши мыши по соответствующей ячейке." sqref="O113"/>
    <dataValidation type="textLength" operator="lessThanOrEqual" allowBlank="1" showInputMessage="1" showErrorMessage="1" errorTitle="Ошибка" error="Допускается ввод не более 900 символов!" sqref="R113">
      <formula1>900</formula1>
    </dataValidation>
    <dataValidation allowBlank="1" showInputMessage="1" showErrorMessage="1" prompt="Для выбора выполните двойной щелчок левой клавиши мыши по соответствующей ячейке." sqref="S113"/>
    <dataValidation type="textLength" operator="lessThanOrEqual" allowBlank="1" showInputMessage="1" showErrorMessage="1" errorTitle="Ошибка" error="Допускается ввод не более 900 символов!" sqref="V113">
      <formula1>900</formula1>
    </dataValidation>
    <dataValidation type="textLength" operator="lessThanOrEqual" allowBlank="1" showInputMessage="1" showErrorMessage="1" errorTitle="Ошибка" error="Допускается ввод не более 900 символов!" sqref="W113">
      <formula1>900</formula1>
    </dataValidation>
    <dataValidation allowBlank="1" showInputMessage="1" showErrorMessage="1" prompt="Для выбора выполните двойной щелчок левой клавиши мыши по соответствующей ячейке." sqref="F114"/>
    <dataValidation allowBlank="1" showInputMessage="1" showErrorMessage="1" prompt="Выберите виды деятельности, выполнив двойной щелчок левой кнопки мыши по ячейке." sqref="G114"/>
    <dataValidation type="textLength" operator="lessThanOrEqual" allowBlank="1" showInputMessage="1" showErrorMessage="1" errorTitle="Ошибка" error="Допускается ввод не более 900 символов!" sqref="J1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4"/>
    <dataValidation type="textLength" operator="lessThanOrEqual" allowBlank="1" showInputMessage="1" showErrorMessage="1" errorTitle="Ошибка" error="Допускается ввод не более 900 символов!" sqref="R114">
      <formula1>900</formula1>
    </dataValidation>
    <dataValidation allowBlank="1" showInputMessage="1" showErrorMessage="1" prompt="Для выбора выполните двойной щелчок левой клавиши мыши по соответствующей ячейке." sqref="S114"/>
    <dataValidation allowBlank="1" showInputMessage="1" showErrorMessage="1" prompt="Для выбора выполните двойной щелчок левой клавиши мыши по соответствующей ячейке." sqref="F115"/>
    <dataValidation allowBlank="1" showInputMessage="1" showErrorMessage="1" prompt="Выберите виды деятельности, выполнив двойной щелчок левой кнопки мыши по ячейке." sqref="G11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5"/>
    <dataValidation allowBlank="1" showInputMessage="1" showErrorMessage="1" prompt="Для выбора выполните двойной щелчок левой клавиши мыши по соответствующей ячейке." sqref="F116"/>
    <dataValidation allowBlank="1" showInputMessage="1" showErrorMessage="1" prompt="Выберите виды деятельности, выполнив двойной щелчок левой кнопки мыши по ячейке." sqref="G116"/>
    <dataValidation type="textLength" operator="lessThanOrEqual" allowBlank="1" showInputMessage="1" showErrorMessage="1" errorTitle="Ошибка" error="Допускается ввод не более 900 символов!" sqref="J11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6"/>
    <dataValidation allowBlank="1" showInputMessage="1" showErrorMessage="1" prompt="Для выбора выполните двойной щелчок левой клавиши мыши по соответствующей ячейке." sqref="O116"/>
    <dataValidation type="textLength" operator="lessThanOrEqual" allowBlank="1" showInputMessage="1" showErrorMessage="1" errorTitle="Ошибка" error="Допускается ввод не более 900 символов!" sqref="R116">
      <formula1>900</formula1>
    </dataValidation>
    <dataValidation allowBlank="1" showInputMessage="1" showErrorMessage="1" prompt="Для выбора выполните двойной щелчок левой клавиши мыши по соответствующей ячейке." sqref="S116"/>
    <dataValidation type="textLength" operator="lessThanOrEqual" allowBlank="1" showInputMessage="1" showErrorMessage="1" errorTitle="Ошибка" error="Допускается ввод не более 900 символов!" sqref="V116">
      <formula1>900</formula1>
    </dataValidation>
    <dataValidation type="textLength" operator="lessThanOrEqual" allowBlank="1" showInputMessage="1" showErrorMessage="1" errorTitle="Ошибка" error="Допускается ввод не более 900 символов!" sqref="W116">
      <formula1>900</formula1>
    </dataValidation>
    <dataValidation allowBlank="1" showInputMessage="1" showErrorMessage="1" prompt="Для выбора выполните двойной щелчок левой клавиши мыши по соответствующей ячейке." sqref="F117"/>
    <dataValidation allowBlank="1" showInputMessage="1" showErrorMessage="1" prompt="Выберите виды деятельности, выполнив двойной щелчок левой кнопки мыши по ячейке." sqref="G117"/>
    <dataValidation type="textLength" operator="lessThanOrEqual" allowBlank="1" showInputMessage="1" showErrorMessage="1" errorTitle="Ошибка" error="Допускается ввод не более 900 символов!" sqref="J11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7"/>
    <dataValidation type="textLength" operator="lessThanOrEqual" allowBlank="1" showInputMessage="1" showErrorMessage="1" errorTitle="Ошибка" error="Допускается ввод не более 900 символов!" sqref="R117">
      <formula1>900</formula1>
    </dataValidation>
    <dataValidation allowBlank="1" showInputMessage="1" showErrorMessage="1" prompt="Для выбора выполните двойной щелчок левой клавиши мыши по соответствующей ячейке." sqref="S117"/>
    <dataValidation allowBlank="1" showInputMessage="1" showErrorMessage="1" prompt="Для выбора выполните двойной щелчок левой клавиши мыши по соответствующей ячейке." sqref="F118"/>
    <dataValidation allowBlank="1" showInputMessage="1" showErrorMessage="1" prompt="Выберите виды деятельности, выполнив двойной щелчок левой кнопки мыши по ячейке." sqref="G1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8"/>
    <dataValidation allowBlank="1" showInputMessage="1" showErrorMessage="1" prompt="Для выбора выполните двойной щелчок левой клавиши мыши по соответствующей ячейке." sqref="F123"/>
    <dataValidation allowBlank="1" showInputMessage="1" showErrorMessage="1" prompt="Выберите виды деятельности, выполнив двойной щелчок левой кнопки мыши по ячейке." sqref="G123"/>
    <dataValidation type="textLength" operator="lessThanOrEqual" allowBlank="1" showInputMessage="1" showErrorMessage="1" errorTitle="Ошибка" error="Допускается ввод не более 900 символов!" sqref="J12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O123"/>
    <dataValidation type="textLength" operator="lessThanOrEqual" allowBlank="1" showInputMessage="1" showErrorMessage="1" errorTitle="Ошибка" error="Допускается ввод не более 900 символов!" sqref="R123">
      <formula1>900</formula1>
    </dataValidation>
    <dataValidation allowBlank="1" showInputMessage="1" showErrorMessage="1" prompt="Для выбора выполните двойной щелчок левой клавиши мыши по соответствующей ячейке." sqref="S123"/>
    <dataValidation type="textLength" operator="lessThanOrEqual" allowBlank="1" showInputMessage="1" showErrorMessage="1" errorTitle="Ошибка" error="Допускается ввод не более 900 символов!" sqref="V123">
      <formula1>900</formula1>
    </dataValidation>
    <dataValidation type="textLength" operator="lessThanOrEqual" allowBlank="1" showInputMessage="1" showErrorMessage="1" errorTitle="Ошибка" error="Допускается ввод не более 900 символов!" sqref="W123">
      <formula1>900</formula1>
    </dataValidation>
    <dataValidation allowBlank="1" showInputMessage="1" showErrorMessage="1" prompt="Для выбора выполните двойной щелчок левой клавиши мыши по соответствующей ячейке." sqref="F124"/>
    <dataValidation allowBlank="1" showInputMessage="1" showErrorMessage="1" prompt="Выберите виды деятельности, выполнив двойной щелчок левой кнопки мыши по ячейке." sqref="G124"/>
    <dataValidation type="textLength" operator="lessThanOrEqual" allowBlank="1" showInputMessage="1" showErrorMessage="1" errorTitle="Ошибка" error="Допускается ввод не более 900 символов!" sqref="J12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4"/>
    <dataValidation type="textLength" operator="lessThanOrEqual" allowBlank="1" showInputMessage="1" showErrorMessage="1" errorTitle="Ошибка" error="Допускается ввод не более 900 символов!" sqref="R124">
      <formula1>900</formula1>
    </dataValidation>
    <dataValidation allowBlank="1" showInputMessage="1" showErrorMessage="1" prompt="Для выбора выполните двойной щелчок левой клавиши мыши по соответствующей ячейке." sqref="S124"/>
    <dataValidation allowBlank="1" showInputMessage="1" showErrorMessage="1" prompt="Для выбора выполните двойной щелчок левой клавиши мыши по соответствующей ячейке." sqref="F125"/>
    <dataValidation allowBlank="1" showInputMessage="1" showErrorMessage="1" prompt="Выберите виды деятельности, выполнив двойной щелчок левой кнопки мыши по ячейке." sqref="G1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5"/>
    <dataValidation allowBlank="1" showInputMessage="1" showErrorMessage="1" prompt="Для выбора выполните двойной щелчок левой клавиши мыши по соответствующей ячейке." sqref="F126"/>
    <dataValidation allowBlank="1" showInputMessage="1" showErrorMessage="1" prompt="Выберите виды деятельности, выполнив двойной щелчок левой кнопки мыши по ячейке." sqref="G126"/>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allowBlank="1" showInputMessage="1" showErrorMessage="1" prompt="Для выбора выполните двойной щелчок левой клавиши мыши по соответствующей ячейке." sqref="O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V126">
      <formula1>900</formula1>
    </dataValidation>
    <dataValidation type="textLength" operator="lessThanOrEqual" allowBlank="1" showInputMessage="1" showErrorMessage="1" errorTitle="Ошибка" error="Допускается ввод не более 900 символов!" sqref="W126">
      <formula1>900</formula1>
    </dataValidation>
    <dataValidation allowBlank="1" showInputMessage="1" showErrorMessage="1" prompt="Для выбора выполните двойной щелчок левой клавиши мыши по соответствующей ячейке." sqref="F127"/>
    <dataValidation allowBlank="1" showInputMessage="1" showErrorMessage="1" prompt="Выберите виды деятельности, выполнив двойной щелчок левой кнопки мыши по ячейке." sqref="G127"/>
    <dataValidation type="textLength" operator="lessThanOrEqual" allowBlank="1" showInputMessage="1" showErrorMessage="1" errorTitle="Ошибка" error="Допускается ввод не более 900 символов!" sqref="J1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Для выбора выполните двойной щелчок левой клавиши мыши по соответствующей ячейке." sqref="S127"/>
    <dataValidation allowBlank="1" showInputMessage="1" showErrorMessage="1" prompt="Для выбора выполните двойной щелчок левой клавиши мыши по соответствующей ячейке." sqref="F128"/>
    <dataValidation allowBlank="1" showInputMessage="1" showErrorMessage="1" prompt="Выберите виды деятельности, выполнив двойной щелчок левой кнопки мыши по ячейке." sqref="G1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D202A-6BF1-D9BD-2F3B-DF29D74DFBED}" mc:Ignorable="x14ac xr xr2 xr3">
  <dimension ref="A1:I24"/>
  <sheetViews>
    <sheetView topLeftCell="A1" showGridLines="0" zoomScale="90" workbookViewId="0">
      <selection activeCell="A1" sqref="A1"/>
    </sheetView>
  </sheetViews>
  <sheetFormatPr defaultColWidth="9.140625" customHeight="1" defaultRowHeight="11.25"/>
  <cols>
    <col min="1" max="2" style="31964" width="15.00390625" hidden="1" customWidth="1"/>
    <col min="3" max="3" style="32006" width="3.7109375" customWidth="1"/>
    <col min="4" max="4" style="32007" width="6.8515625" customWidth="1"/>
    <col min="5" max="5" style="32006" width="52.28125" customWidth="1"/>
    <col min="6" max="6" style="32006" width="48.8515625" customWidth="1"/>
    <col min="7" max="7" style="32006" width="93.421875" customWidth="1"/>
    <col min="8" max="8" style="32006" width="9.140625"/>
    <col min="9" max="9" style="32006" width="65.00390625" customWidth="1"/>
  </cols>
  <sheetData>
    <row customHeight="1" ht="11.25" hidden="1">
      <c r="A1" s="862" t="s">
        <v>340</v>
      </c>
    </row>
    <row customHeight="1" ht="22.5" hidden="1">
      <c r="A2" s="863"/>
      <c r="B2" s="863"/>
      <c r="C2" s="2096" t="s">
        <v>103</v>
      </c>
      <c r="D2" s="1886"/>
      <c r="E2" s="1892"/>
      <c r="F2" s="1915"/>
      <c r="H2" s="836"/>
    </row>
    <row customHeight="1" ht="11.25" hidden="1"/>
    <row customHeight="1" ht="11.25">
      <c r="A4" s="1916"/>
      <c r="B4" s="1916"/>
    </row>
    <row customHeight="1" ht="26.25">
      <c r="D5" s="251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512"/>
      <c r="F5" s="2513"/>
      <c r="I5" s="1076"/>
    </row>
    <row customHeight="1" ht="17.25">
      <c r="D6" s="2474" t="str">
        <f>IF(region_name=0,"Не определено",region_name)</f>
        <v>Мурманская область</v>
      </c>
      <c r="E6" s="2474"/>
      <c r="F6" s="2474"/>
      <c r="I6" s="1076"/>
    </row>
    <row s="31923" customFormat="1" customHeight="1" ht="11.25">
      <c r="A7" s="862"/>
      <c r="B7" s="862"/>
      <c r="D7" s="1075"/>
      <c r="E7" s="1075"/>
      <c r="F7" s="1113"/>
      <c r="G7" s="1075"/>
    </row>
    <row customHeight="1" ht="11.25" hidden="1">
      <c r="A8" s="863"/>
      <c r="B8" s="863"/>
      <c r="C8" s="818"/>
      <c r="D8" s="824"/>
      <c r="E8" s="2480"/>
      <c r="F8" s="2480"/>
    </row>
    <row customHeight="1" ht="11.25">
      <c r="A9" s="863"/>
      <c r="B9" s="863"/>
      <c r="C9" s="818"/>
      <c r="D9" s="2477" t="s">
        <v>341</v>
      </c>
      <c r="E9" s="2478"/>
      <c r="F9" s="2478"/>
      <c r="G9" s="2481" t="s">
        <v>342</v>
      </c>
    </row>
    <row customHeight="1" ht="11.25">
      <c r="A10" s="863"/>
      <c r="B10" s="863"/>
      <c r="C10" s="818"/>
      <c r="D10" s="1840" t="s">
        <v>87</v>
      </c>
      <c r="E10" s="1842" t="s">
        <v>343</v>
      </c>
      <c r="F10" s="1842" t="s">
        <v>344</v>
      </c>
      <c r="G10" s="2482"/>
    </row>
    <row customHeight="1" ht="0.75">
      <c r="A11" s="863"/>
      <c r="B11" s="863"/>
      <c r="C11" s="818"/>
      <c r="D11" s="825"/>
      <c r="E11" s="825"/>
      <c r="F11" s="825"/>
      <c r="G11" s="825"/>
    </row>
    <row customHeight="1" ht="22.5">
      <c r="A12" s="863"/>
      <c r="B12" s="863"/>
      <c r="C12" s="818"/>
      <c r="D12" s="1886">
        <v>1</v>
      </c>
      <c r="E12" s="83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275" t="str">
        <f>IF(org="","",org)</f>
        <v>АО "Мурманэнергосбыт"</v>
      </c>
      <c r="G12" s="83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899"/>
    </row>
    <row customHeight="1" ht="18.75">
      <c r="A13" s="863"/>
      <c r="B13" s="863"/>
      <c r="C13" s="818"/>
      <c r="D13" s="1886">
        <v>2</v>
      </c>
      <c r="E13" s="1893" t="s">
        <v>1822</v>
      </c>
      <c r="F13" s="1887" t="s">
        <v>347</v>
      </c>
      <c r="G13" s="835"/>
      <c r="H13" s="1899"/>
    </row>
    <row customHeight="1" ht="18.75">
      <c r="A14" s="863"/>
      <c r="B14" s="863"/>
      <c r="C14" s="818"/>
      <c r="D14" s="1889" t="s">
        <v>663</v>
      </c>
      <c r="E14" s="1890" t="s">
        <v>1823</v>
      </c>
      <c r="F14" s="1892"/>
      <c r="G14" s="1891" t="s">
        <v>1824</v>
      </c>
      <c r="H14" s="1899"/>
    </row>
    <row customHeight="1" ht="18.75">
      <c r="A15" s="863"/>
      <c r="B15" s="863"/>
      <c r="C15" s="818"/>
      <c r="D15" s="1889" t="s">
        <v>348</v>
      </c>
      <c r="E15" s="1890" t="s">
        <v>1825</v>
      </c>
      <c r="F15" s="1892"/>
      <c r="G15" s="1891" t="s">
        <v>1826</v>
      </c>
      <c r="H15" s="1899"/>
    </row>
    <row customHeight="1" ht="22.5">
      <c r="A16" s="863"/>
      <c r="B16" s="863"/>
      <c r="C16" s="818"/>
      <c r="D16" s="1889" t="s">
        <v>351</v>
      </c>
      <c r="E16" s="1888" t="s">
        <v>1827</v>
      </c>
      <c r="F16" s="1897"/>
      <c r="G16" s="835" t="s">
        <v>1828</v>
      </c>
      <c r="H16" s="1899"/>
    </row>
    <row customHeight="1" ht="45">
      <c r="A17" s="863"/>
      <c r="B17" s="863"/>
      <c r="C17" s="818"/>
      <c r="D17" s="1886">
        <v>3</v>
      </c>
      <c r="E17" s="1893" t="s">
        <v>1829</v>
      </c>
      <c r="F17" s="1892"/>
      <c r="G17" s="835" t="s">
        <v>1830</v>
      </c>
      <c r="H17" s="1899"/>
    </row>
    <row customHeight="1" ht="45">
      <c r="A18" s="1841">
        <v>1</v>
      </c>
      <c r="B18" s="863"/>
      <c r="C18" s="1843"/>
      <c r="D18" s="1886" t="s">
        <v>90</v>
      </c>
      <c r="E18" s="1893" t="s">
        <v>1831</v>
      </c>
      <c r="F18" s="1892"/>
      <c r="G18" s="835" t="s">
        <v>1830</v>
      </c>
      <c r="H18" s="1899"/>
      <c r="I18" s="1213"/>
    </row>
    <row customHeight="1" ht="22.5">
      <c r="A19" s="863"/>
      <c r="B19" s="863"/>
      <c r="C19" s="818"/>
      <c r="D19" s="1886" t="s">
        <v>119</v>
      </c>
      <c r="E19" s="1893" t="s">
        <v>1832</v>
      </c>
      <c r="F19" s="1887" t="s">
        <v>347</v>
      </c>
      <c r="G19" s="2737" t="s">
        <v>1833</v>
      </c>
      <c r="H19" s="836"/>
    </row>
    <row s="37605" customFormat="1" customHeight="1" ht="5.25" hidden="1">
      <c r="A20" s="863"/>
      <c r="B20" s="863"/>
      <c r="C20" s="1895"/>
      <c r="D20" s="1894" t="s">
        <v>1074</v>
      </c>
      <c r="E20" s="1376"/>
      <c r="F20" s="1375"/>
      <c r="G20" s="2738"/>
    </row>
    <row customHeight="1" ht="15">
      <c r="A21" s="863"/>
      <c r="B21" s="863"/>
      <c r="C21" s="818"/>
      <c r="D21" s="828"/>
      <c r="E21" s="776" t="s">
        <v>380</v>
      </c>
      <c r="F21" s="830"/>
      <c r="G21" s="2739"/>
      <c r="H21" s="1899"/>
    </row>
    <row s="31964" customFormat="1" customHeight="1" ht="24.75">
      <c r="A22" s="863"/>
      <c r="B22" s="863"/>
      <c r="C22" s="863"/>
      <c r="D22" s="1886" t="s">
        <v>91</v>
      </c>
      <c r="E22" s="835" t="s">
        <v>1834</v>
      </c>
      <c r="F22" s="1892"/>
      <c r="G22" s="835" t="s">
        <v>1835</v>
      </c>
      <c r="H22" s="1898"/>
    </row>
    <row s="31964" customFormat="1" customHeight="1" ht="18.75">
      <c r="A23" s="863"/>
      <c r="B23" s="863"/>
      <c r="C23" s="863"/>
      <c r="D23" s="1886" t="s">
        <v>92</v>
      </c>
      <c r="E23" s="1893" t="s">
        <v>1836</v>
      </c>
      <c r="F23" s="1897"/>
      <c r="G23" s="835" t="s">
        <v>1837</v>
      </c>
      <c r="H23" s="1898"/>
    </row>
    <row s="31964" customFormat="1" customHeight="1" ht="144" hidden="1">
      <c r="A24" s="863"/>
      <c r="B24" s="863"/>
      <c r="C24" s="863"/>
      <c r="D24" s="1886" t="s">
        <v>120</v>
      </c>
      <c r="E24" s="226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265"/>
      <c r="G24" s="226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898"/>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C7DDB-8E3A-A80A-E656-C0D9A9318149}" mc:Ignorable="x14ac xr xr2 xr3">
  <dimension ref="A1:IT23"/>
  <sheetViews>
    <sheetView topLeftCell="A1" showGridLines="0" zoomScale="90" workbookViewId="0">
      <selection activeCell="A1" sqref="A1"/>
    </sheetView>
  </sheetViews>
  <sheetFormatPr defaultColWidth="9.140625" customHeight="1" defaultRowHeight="14.25"/>
  <cols>
    <col min="1" max="1" style="32302" width="9.140625" hidden="1"/>
    <col min="2" max="2" style="32217" width="9.140625" hidden="1"/>
    <col min="3" max="3" style="32302" width="3.7109375" hidden="1" customWidth="1"/>
    <col min="4" max="4" style="32072" width="3.8515625" customWidth="1"/>
    <col min="5" max="5" style="32302" width="6.28125" customWidth="1"/>
    <col min="6" max="6" style="32302" width="46.7109375" customWidth="1"/>
    <col min="7" max="8" style="32302" width="16.7109375" customWidth="1"/>
    <col min="9" max="9" style="32302" width="35.28125" customWidth="1"/>
    <col min="10" max="10" style="32302" width="89.57421875" customWidth="1"/>
    <col min="11" max="11" style="37630" width="3.7109375" customWidth="1"/>
    <col min="12" max="14" style="37630" width="9.140625"/>
    <col min="15" max="15" style="31552" width="25.7109375" customWidth="1"/>
    <col min="16" max="16" style="37630" width="14.421875" customWidth="1"/>
    <col min="17" max="20" style="31553" width="9.140625"/>
    <col min="21" max="254" style="32302" width="9.140625"/>
  </cols>
  <sheetData>
    <row customHeight="1" ht="14.25" hidden="1"/>
    <row s="31510" customFormat="1" customHeight="1" ht="22.5" hidden="1">
      <c r="A2" s="1192"/>
      <c r="B2" s="1523">
        <v>1</v>
      </c>
      <c r="C2" s="1523"/>
      <c r="D2" s="2292" t="s">
        <v>103</v>
      </c>
      <c r="E2" s="1850"/>
      <c r="F2" s="1857"/>
      <c r="G2" s="1857"/>
      <c r="H2" s="1857"/>
      <c r="I2" s="1904"/>
      <c r="J2" s="589"/>
      <c r="K2" s="1901"/>
      <c r="L2" s="872"/>
      <c r="M2" s="872"/>
      <c r="N2" s="861" t="str">
        <f t="array" ref="N2:N2">IF(ISERROR(MATCH(MID(O2,1,250),MID(note_ter,1,250),0)),"n","y")</f>
        <v>n</v>
      </c>
      <c r="O2" s="872"/>
      <c r="P2" s="861" t="str">
        <f>G2&amp;"("&amp;J2&amp;")"</f>
        <v>()</v>
      </c>
      <c r="Q2" s="1523"/>
      <c r="R2" s="1523"/>
      <c r="S2" s="781"/>
      <c r="T2" s="1523"/>
      <c r="U2" s="1523"/>
      <c r="V2" s="1523"/>
      <c r="W2" s="783"/>
      <c r="X2" s="783"/>
      <c r="Y2" s="780"/>
      <c r="Z2" s="780"/>
      <c r="AA2" s="780"/>
      <c r="AB2" s="780"/>
      <c r="AC2" s="780"/>
      <c r="AD2" s="780"/>
      <c r="AE2" s="780"/>
      <c r="AF2" s="780"/>
      <c r="AG2" s="780"/>
      <c r="AH2" s="780"/>
      <c r="AI2" s="780"/>
      <c r="AJ2" s="780"/>
      <c r="AK2" s="780"/>
      <c r="AL2" s="780"/>
      <c r="AM2" s="780"/>
      <c r="AN2" s="780"/>
      <c r="AO2" s="780"/>
      <c r="AP2" s="780"/>
      <c r="AQ2" s="780"/>
      <c r="AR2" s="780"/>
      <c r="AS2" s="780"/>
      <c r="AT2" s="780"/>
      <c r="AU2" s="780"/>
      <c r="AV2" s="780"/>
      <c r="AW2" s="780"/>
      <c r="AX2" s="780"/>
      <c r="AY2" s="780"/>
      <c r="AZ2" s="780"/>
      <c r="BA2" s="780"/>
      <c r="BB2" s="780"/>
      <c r="BC2" s="780"/>
      <c r="BD2" s="780"/>
      <c r="BE2" s="780"/>
      <c r="BF2" s="780"/>
      <c r="BG2" s="780"/>
      <c r="BH2" s="780"/>
      <c r="BI2" s="780"/>
      <c r="BJ2" s="780"/>
      <c r="BK2" s="780"/>
      <c r="BL2" s="780"/>
      <c r="BM2" s="780"/>
      <c r="BN2" s="780"/>
      <c r="BO2" s="780"/>
      <c r="BP2" s="780"/>
      <c r="BQ2" s="780"/>
      <c r="BR2" s="780"/>
      <c r="BS2" s="780"/>
      <c r="BT2" s="783"/>
      <c r="BU2" s="783"/>
      <c r="BV2" s="783"/>
      <c r="BW2" s="783"/>
      <c r="BX2" s="783"/>
      <c r="BY2" s="783"/>
      <c r="BZ2" s="783"/>
      <c r="CA2" s="783"/>
      <c r="CB2" s="783"/>
      <c r="CC2" s="783"/>
    </row>
    <row s="32289" customFormat="1" customHeight="1" ht="5.25" hidden="1">
      <c r="A3" s="857"/>
      <c r="D3" s="855"/>
      <c r="F3" s="608" t="s">
        <v>82</v>
      </c>
      <c r="G3" s="855" t="s">
        <v>83</v>
      </c>
      <c r="H3" s="855"/>
      <c r="I3" s="855"/>
      <c r="J3" s="588" t="s">
        <v>84</v>
      </c>
      <c r="K3" s="608" t="s">
        <v>82</v>
      </c>
      <c r="L3" s="608"/>
      <c r="M3" s="608"/>
      <c r="N3" s="608"/>
      <c r="O3" s="609"/>
      <c r="P3" s="608"/>
      <c r="Q3" s="608"/>
      <c r="R3" s="608"/>
      <c r="S3" s="608"/>
      <c r="T3" s="608"/>
      <c r="U3" s="588"/>
      <c r="V3" s="588"/>
      <c r="W3" s="588"/>
      <c r="X3" s="588"/>
      <c r="Y3" s="588"/>
      <c r="Z3" s="588"/>
      <c r="AA3" s="588"/>
      <c r="AB3" s="588"/>
      <c r="AC3" s="588"/>
      <c r="AD3" s="588"/>
      <c r="AE3" s="588"/>
      <c r="AF3" s="588"/>
      <c r="AG3" s="588"/>
      <c r="AH3" s="588"/>
      <c r="AI3" s="588"/>
      <c r="AJ3" s="588"/>
      <c r="AK3" s="588"/>
      <c r="AL3" s="588"/>
      <c r="AM3" s="588"/>
      <c r="AN3" s="588"/>
      <c r="AO3" s="588"/>
      <c r="AP3" s="588"/>
      <c r="AQ3" s="588"/>
      <c r="AR3" s="588"/>
      <c r="AS3" s="588"/>
      <c r="AT3" s="588"/>
      <c r="AU3" s="588"/>
      <c r="AV3" s="588"/>
      <c r="AW3" s="588"/>
      <c r="AX3" s="588"/>
      <c r="AY3" s="588"/>
      <c r="AZ3" s="588"/>
      <c r="BA3" s="588"/>
      <c r="BB3" s="588"/>
      <c r="BC3" s="588"/>
      <c r="BD3" s="588"/>
      <c r="BE3" s="588"/>
      <c r="BF3" s="588"/>
      <c r="BG3" s="588"/>
      <c r="BH3" s="588"/>
      <c r="BI3" s="588"/>
      <c r="BJ3" s="588"/>
      <c r="BK3" s="588"/>
      <c r="BL3" s="588"/>
      <c r="BM3" s="588"/>
      <c r="BN3" s="588"/>
      <c r="BO3" s="588"/>
      <c r="BP3" s="588"/>
      <c r="BQ3" s="588"/>
      <c r="BR3" s="588"/>
      <c r="BS3" s="588"/>
      <c r="BT3" s="588"/>
      <c r="BU3" s="588"/>
      <c r="BV3" s="588"/>
      <c r="BW3" s="588"/>
      <c r="BX3" s="588"/>
      <c r="BY3" s="588"/>
      <c r="BZ3" s="588"/>
      <c r="CA3" s="588"/>
      <c r="CB3" s="588"/>
      <c r="CC3" s="588"/>
      <c r="CD3" s="588"/>
      <c r="CE3" s="588"/>
      <c r="CF3" s="588"/>
      <c r="CG3" s="588"/>
      <c r="CH3" s="588"/>
      <c r="CI3" s="588"/>
      <c r="CJ3" s="588"/>
      <c r="CK3" s="588"/>
      <c r="CL3" s="588"/>
      <c r="CM3" s="588"/>
      <c r="CN3" s="588"/>
      <c r="CO3" s="588"/>
      <c r="CP3" s="588"/>
      <c r="CQ3" s="588"/>
      <c r="CR3" s="588"/>
      <c r="CS3" s="588"/>
      <c r="CT3" s="588"/>
      <c r="CU3" s="588"/>
      <c r="CV3" s="588"/>
      <c r="CW3" s="588"/>
      <c r="CX3" s="588"/>
      <c r="CY3" s="588"/>
      <c r="CZ3" s="588"/>
      <c r="DA3" s="588"/>
      <c r="DB3" s="588"/>
      <c r="DC3" s="588"/>
      <c r="DD3" s="588"/>
      <c r="DE3" s="588"/>
      <c r="DF3" s="588"/>
      <c r="DG3" s="588"/>
      <c r="DH3" s="588"/>
      <c r="DI3" s="588"/>
      <c r="DJ3" s="588"/>
      <c r="DK3" s="588"/>
      <c r="DL3" s="588"/>
      <c r="DM3" s="588"/>
      <c r="DN3" s="588"/>
      <c r="DO3" s="588"/>
      <c r="DP3" s="588"/>
      <c r="DQ3" s="588"/>
      <c r="DR3" s="588"/>
      <c r="DS3" s="588"/>
      <c r="DT3" s="588"/>
      <c r="DU3" s="588"/>
      <c r="DV3" s="588"/>
      <c r="DW3" s="588"/>
      <c r="DX3" s="588"/>
      <c r="DY3" s="588"/>
      <c r="DZ3" s="588"/>
      <c r="EA3" s="588"/>
      <c r="EB3" s="588"/>
      <c r="EC3" s="588"/>
      <c r="ED3" s="588"/>
      <c r="EE3" s="588"/>
      <c r="EF3" s="588"/>
      <c r="EG3" s="588"/>
      <c r="EH3" s="588"/>
      <c r="EI3" s="588"/>
      <c r="EJ3" s="588"/>
      <c r="EK3" s="588"/>
      <c r="EL3" s="588"/>
      <c r="EM3" s="588"/>
      <c r="EN3" s="588"/>
      <c r="EO3" s="588"/>
      <c r="EP3" s="588"/>
      <c r="EQ3" s="588"/>
      <c r="ER3" s="588"/>
      <c r="ES3" s="588"/>
      <c r="ET3" s="588"/>
      <c r="EU3" s="588"/>
      <c r="EV3" s="588"/>
      <c r="EW3" s="588"/>
      <c r="EX3" s="588"/>
      <c r="EY3" s="588"/>
      <c r="EZ3" s="588"/>
      <c r="FA3" s="588"/>
      <c r="FB3" s="588"/>
      <c r="FC3" s="588"/>
      <c r="FD3" s="588"/>
      <c r="FE3" s="588"/>
      <c r="FF3" s="588"/>
      <c r="FG3" s="588"/>
      <c r="FH3" s="588"/>
      <c r="FI3" s="588"/>
      <c r="FJ3" s="588"/>
      <c r="FK3" s="588"/>
      <c r="FL3" s="588"/>
      <c r="FM3" s="588"/>
      <c r="FN3" s="588"/>
      <c r="FO3" s="588"/>
      <c r="FP3" s="588"/>
      <c r="FQ3" s="588"/>
      <c r="FR3" s="588"/>
      <c r="FS3" s="588"/>
      <c r="FT3" s="588"/>
      <c r="FU3" s="588"/>
      <c r="FV3" s="588"/>
      <c r="FW3" s="588"/>
      <c r="FX3" s="588"/>
      <c r="FY3" s="588"/>
      <c r="FZ3" s="588"/>
      <c r="GA3" s="588"/>
      <c r="GB3" s="588"/>
      <c r="GC3" s="588"/>
      <c r="GD3" s="588"/>
      <c r="GE3" s="588"/>
      <c r="GF3" s="588"/>
      <c r="GG3" s="588"/>
      <c r="GH3" s="588"/>
      <c r="GI3" s="588"/>
      <c r="GJ3" s="588"/>
      <c r="GK3" s="588"/>
      <c r="GL3" s="588"/>
      <c r="GM3" s="588"/>
      <c r="GN3" s="588"/>
      <c r="GO3" s="588"/>
      <c r="GP3" s="588"/>
      <c r="GQ3" s="588"/>
      <c r="GR3" s="588"/>
      <c r="GS3" s="588"/>
      <c r="GT3" s="588"/>
      <c r="GU3" s="588"/>
      <c r="GV3" s="588"/>
      <c r="GW3" s="588"/>
      <c r="GX3" s="588"/>
      <c r="GY3" s="588"/>
      <c r="GZ3" s="588"/>
      <c r="HA3" s="588"/>
      <c r="HB3" s="588"/>
      <c r="HC3" s="588"/>
      <c r="HD3" s="588"/>
      <c r="HE3" s="588"/>
      <c r="HF3" s="588"/>
      <c r="HG3" s="588"/>
      <c r="HH3" s="588"/>
      <c r="HI3" s="588"/>
      <c r="HJ3" s="588"/>
      <c r="HK3" s="588"/>
      <c r="HL3" s="588"/>
      <c r="HM3" s="588"/>
      <c r="HN3" s="588"/>
      <c r="HO3" s="588"/>
      <c r="HP3" s="588"/>
      <c r="HQ3" s="588"/>
      <c r="HR3" s="588"/>
      <c r="HS3" s="588"/>
      <c r="HT3" s="588"/>
      <c r="HU3" s="588"/>
      <c r="HV3" s="588"/>
      <c r="HW3" s="588"/>
      <c r="HX3" s="588"/>
      <c r="HY3" s="588"/>
      <c r="HZ3" s="588"/>
      <c r="IA3" s="588"/>
      <c r="IB3" s="588"/>
      <c r="IC3" s="588"/>
      <c r="ID3" s="588"/>
      <c r="IE3" s="588"/>
      <c r="IF3" s="588"/>
      <c r="IG3" s="588"/>
      <c r="IH3" s="588"/>
      <c r="II3" s="588"/>
      <c r="IJ3" s="588"/>
      <c r="IK3" s="588"/>
      <c r="IL3" s="588"/>
      <c r="IM3" s="588"/>
      <c r="IN3" s="588"/>
      <c r="IO3" s="588"/>
      <c r="IP3" s="588"/>
      <c r="IQ3" s="588"/>
      <c r="IR3" s="588"/>
      <c r="IS3" s="588"/>
      <c r="IT3" s="588"/>
    </row>
    <row s="31501" customFormat="1" customHeight="1" ht="14.25">
      <c r="A4" s="1518"/>
      <c r="B4" s="1523"/>
      <c r="C4" s="1518"/>
      <c r="D4" s="1861"/>
      <c r="E4" s="870"/>
      <c r="F4" s="870"/>
      <c r="G4" s="870"/>
      <c r="H4" s="870"/>
      <c r="I4" s="870"/>
      <c r="J4" s="528"/>
      <c r="K4" s="608"/>
      <c r="L4" s="861"/>
      <c r="M4" s="861"/>
      <c r="N4" s="861"/>
      <c r="O4" s="587"/>
      <c r="P4" s="861"/>
      <c r="Q4" s="586"/>
      <c r="R4" s="586"/>
      <c r="S4" s="586"/>
      <c r="T4" s="586"/>
    </row>
    <row s="31501" customFormat="1" customHeight="1" ht="25.5">
      <c r="A5" s="1518"/>
      <c r="B5" s="1523"/>
      <c r="C5" s="1518"/>
      <c r="D5" s="1861"/>
      <c r="E5" s="237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375"/>
      <c r="G5" s="2375"/>
      <c r="H5" s="2375"/>
      <c r="I5" s="2375"/>
      <c r="J5" s="2375"/>
      <c r="K5" s="608"/>
      <c r="L5" s="861"/>
      <c r="M5" s="861"/>
      <c r="N5" s="861"/>
      <c r="O5" s="587"/>
      <c r="P5" s="861"/>
      <c r="Q5" s="586"/>
      <c r="R5" s="586"/>
      <c r="S5" s="586"/>
      <c r="T5" s="586"/>
    </row>
    <row s="31501" customFormat="1" customHeight="1" ht="14.25">
      <c r="A6" s="1518"/>
      <c r="B6" s="1523"/>
      <c r="C6" s="1518"/>
      <c r="D6" s="1861"/>
      <c r="E6" s="870"/>
      <c r="F6" s="529"/>
      <c r="G6" s="529"/>
      <c r="H6" s="529"/>
      <c r="I6" s="529"/>
      <c r="J6" s="530"/>
      <c r="K6" s="861"/>
      <c r="L6" s="861"/>
      <c r="M6" s="861"/>
      <c r="N6" s="861"/>
      <c r="O6" s="587"/>
      <c r="P6" s="861"/>
      <c r="Q6" s="586"/>
      <c r="R6" s="586"/>
      <c r="S6" s="586"/>
      <c r="T6" s="586"/>
    </row>
    <row s="31501" customFormat="1" customHeight="1" ht="14.25">
      <c r="A7" s="1518"/>
      <c r="B7" s="1523"/>
      <c r="C7" s="1518"/>
      <c r="D7" s="1861"/>
      <c r="E7" s="2376" t="s">
        <v>341</v>
      </c>
      <c r="F7" s="2377"/>
      <c r="G7" s="2377"/>
      <c r="H7" s="2377"/>
      <c r="I7" s="2377"/>
      <c r="J7" s="2740" t="s">
        <v>342</v>
      </c>
      <c r="K7" s="861"/>
      <c r="L7" s="861"/>
      <c r="M7" s="861"/>
      <c r="N7" s="861"/>
      <c r="O7" s="587"/>
      <c r="P7" s="861"/>
      <c r="Q7" s="586"/>
      <c r="R7" s="586"/>
      <c r="S7" s="586"/>
      <c r="T7" s="586"/>
    </row>
    <row s="31501" customFormat="1" customHeight="1" ht="20.25">
      <c r="A8" s="1518"/>
      <c r="B8" s="1523"/>
      <c r="C8" s="1518"/>
      <c r="D8" s="1861"/>
      <c r="E8" s="1914" t="s">
        <v>87</v>
      </c>
      <c r="F8" s="1906" t="s">
        <v>1838</v>
      </c>
      <c r="G8" s="1906" t="s">
        <v>48</v>
      </c>
      <c r="H8" s="1906" t="s">
        <v>50</v>
      </c>
      <c r="I8" s="1906" t="s">
        <v>1839</v>
      </c>
      <c r="J8" s="2741"/>
      <c r="K8" s="861"/>
      <c r="L8" s="861"/>
      <c r="M8" s="861"/>
      <c r="N8" s="861"/>
      <c r="O8" s="587"/>
      <c r="P8" s="861"/>
      <c r="Q8" s="586"/>
      <c r="R8" s="586"/>
      <c r="S8" s="586"/>
      <c r="T8" s="586"/>
    </row>
    <row s="31510" customFormat="1" customHeight="1" ht="22.5">
      <c r="A9" s="2374"/>
      <c r="B9" s="1523">
        <v>1</v>
      </c>
      <c r="C9" s="1523"/>
      <c r="D9" s="1162"/>
      <c r="E9" s="1850">
        <v>1</v>
      </c>
      <c r="F9" s="1913"/>
      <c r="G9" s="1857"/>
      <c r="H9" s="1857"/>
      <c r="I9" s="1904"/>
      <c r="J9" s="243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901"/>
      <c r="L9" s="872"/>
      <c r="M9" s="872"/>
      <c r="N9" s="861" t="str">
        <f t="array" ref="N9:N9">IF(ISERROR(MATCH(MID(O9,1,250),MID(note_ter,1,250),0)),"n","y")</f>
        <v>n</v>
      </c>
      <c r="O9" s="872"/>
      <c r="P9" s="86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523"/>
      <c r="R9" s="1523"/>
      <c r="S9" s="781"/>
      <c r="T9" s="1523"/>
      <c r="U9" s="1523"/>
      <c r="V9" s="1523"/>
      <c r="W9" s="783"/>
      <c r="X9" s="783"/>
      <c r="Y9" s="780"/>
      <c r="Z9" s="780"/>
      <c r="AA9" s="780"/>
      <c r="AB9" s="780"/>
      <c r="AC9" s="780"/>
      <c r="AD9" s="780"/>
      <c r="AE9" s="780"/>
      <c r="AF9" s="780"/>
      <c r="AG9" s="780"/>
      <c r="AH9" s="780"/>
      <c r="AI9" s="780"/>
      <c r="AJ9" s="780"/>
      <c r="AK9" s="780"/>
      <c r="AL9" s="780"/>
      <c r="AM9" s="780"/>
      <c r="AN9" s="780"/>
      <c r="AO9" s="780"/>
      <c r="AP9" s="780"/>
      <c r="AQ9" s="780"/>
      <c r="AR9" s="780"/>
      <c r="AS9" s="780"/>
      <c r="AT9" s="780"/>
      <c r="AU9" s="780"/>
      <c r="AV9" s="780"/>
      <c r="AW9" s="780"/>
      <c r="AX9" s="780"/>
      <c r="AY9" s="780"/>
      <c r="AZ9" s="780"/>
      <c r="BA9" s="780"/>
      <c r="BB9" s="780"/>
      <c r="BC9" s="780"/>
      <c r="BD9" s="780"/>
      <c r="BE9" s="780"/>
      <c r="BF9" s="780"/>
      <c r="BG9" s="780"/>
      <c r="BH9" s="780"/>
      <c r="BI9" s="780"/>
      <c r="BJ9" s="780"/>
      <c r="BK9" s="780"/>
      <c r="BL9" s="780"/>
      <c r="BM9" s="780"/>
      <c r="BN9" s="780"/>
      <c r="BO9" s="780"/>
      <c r="BP9" s="780"/>
      <c r="BQ9" s="780"/>
      <c r="BR9" s="780"/>
      <c r="BS9" s="780"/>
      <c r="BT9" s="783"/>
      <c r="BU9" s="783"/>
      <c r="BV9" s="783"/>
      <c r="BW9" s="783"/>
      <c r="BX9" s="783"/>
      <c r="BY9" s="783"/>
      <c r="BZ9" s="783"/>
      <c r="CA9" s="783"/>
      <c r="CB9" s="783"/>
      <c r="CC9" s="783"/>
    </row>
    <row s="31510" customFormat="1" customHeight="1" ht="15">
      <c r="A10" s="2374"/>
      <c r="B10" s="1523"/>
      <c r="C10" s="773"/>
      <c r="D10" s="1162"/>
      <c r="E10" s="1907"/>
      <c r="F10" s="1866" t="s">
        <v>1840</v>
      </c>
      <c r="G10" s="1908"/>
      <c r="H10" s="1908"/>
      <c r="I10" s="2266"/>
      <c r="J10" s="2438"/>
      <c r="K10" s="1902"/>
      <c r="L10" s="872"/>
      <c r="M10" s="872"/>
      <c r="N10" s="872"/>
      <c r="O10" s="861"/>
      <c r="P10" s="872"/>
      <c r="Q10" s="1523"/>
      <c r="R10" s="1523"/>
      <c r="S10" s="781"/>
      <c r="T10" s="1523"/>
      <c r="U10" s="1523"/>
      <c r="V10" s="1523"/>
      <c r="W10" s="783"/>
      <c r="X10" s="783"/>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0"/>
      <c r="AY10" s="780"/>
      <c r="AZ10" s="780"/>
      <c r="BA10" s="780"/>
      <c r="BB10" s="780"/>
      <c r="BC10" s="780"/>
      <c r="BD10" s="780"/>
      <c r="BE10" s="780"/>
      <c r="BF10" s="780"/>
      <c r="BG10" s="780"/>
      <c r="BH10" s="780"/>
      <c r="BI10" s="780"/>
      <c r="BJ10" s="780"/>
      <c r="BK10" s="780"/>
      <c r="BL10" s="780"/>
      <c r="BM10" s="780"/>
      <c r="BN10" s="780"/>
      <c r="BO10" s="780"/>
      <c r="BP10" s="780"/>
      <c r="BQ10" s="780"/>
      <c r="BR10" s="780"/>
      <c r="BS10" s="780"/>
      <c r="BT10" s="783"/>
      <c r="BU10" s="783"/>
      <c r="BV10" s="783"/>
      <c r="BW10" s="783"/>
      <c r="BX10" s="783"/>
      <c r="BY10" s="783"/>
      <c r="BZ10" s="783"/>
      <c r="CA10" s="783"/>
      <c r="CB10" s="783"/>
      <c r="CC10" s="783"/>
    </row>
    <row s="31501" customFormat="1" customHeight="1" ht="21">
      <c r="A11" s="1518"/>
      <c r="B11" s="1523"/>
      <c r="C11" s="1518"/>
      <c r="D11" s="812"/>
      <c r="E11" s="542"/>
      <c r="F11" s="542"/>
      <c r="G11" s="542"/>
      <c r="H11" s="542"/>
      <c r="I11" s="542"/>
      <c r="J11" s="542"/>
      <c r="K11" s="861"/>
      <c r="L11" s="861"/>
      <c r="M11" s="861"/>
      <c r="N11" s="861"/>
      <c r="O11" s="587"/>
      <c r="P11" s="861"/>
      <c r="Q11" s="586"/>
      <c r="R11" s="586"/>
      <c r="S11" s="586"/>
      <c r="T11" s="586"/>
    </row>
    <row s="31501" customFormat="1" customHeight="1" ht="14.25">
      <c r="A12" s="1518"/>
      <c r="B12" s="1523"/>
      <c r="C12" s="1518"/>
      <c r="D12" s="812"/>
      <c r="E12" s="1518"/>
      <c r="F12" s="1518"/>
      <c r="G12" s="1518"/>
      <c r="H12" s="1518"/>
      <c r="I12" s="1518"/>
      <c r="J12" s="1518"/>
      <c r="K12" s="861"/>
      <c r="L12" s="861"/>
      <c r="M12" s="861"/>
      <c r="N12" s="861"/>
      <c r="O12" s="587"/>
      <c r="P12" s="861"/>
      <c r="Q12" s="586"/>
      <c r="R12" s="586"/>
      <c r="S12" s="586"/>
      <c r="T12" s="586"/>
    </row>
    <row s="31501" customFormat="1" customHeight="1" ht="0.75">
      <c r="A13" s="1518"/>
      <c r="B13" s="1523"/>
      <c r="C13" s="1518"/>
      <c r="D13" s="812"/>
      <c r="E13" s="1518"/>
      <c r="F13" s="1518"/>
      <c r="G13" s="1518"/>
      <c r="H13" s="1518"/>
      <c r="I13" s="1518"/>
      <c r="J13" s="1518"/>
      <c r="K13" s="861"/>
      <c r="L13" s="861"/>
      <c r="M13" s="861"/>
      <c r="N13" s="861"/>
      <c r="O13" s="587"/>
      <c r="P13" s="861"/>
      <c r="Q13" s="586"/>
      <c r="R13" s="586"/>
      <c r="S13" s="586"/>
      <c r="T13" s="586"/>
    </row>
    <row s="31543" customFormat="1" customHeight="1" ht="10.5">
      <c r="B14" s="1195"/>
      <c r="D14" s="544"/>
      <c r="K14" s="861"/>
      <c r="L14" s="861"/>
      <c r="M14" s="861"/>
      <c r="N14" s="861"/>
      <c r="O14" s="587"/>
      <c r="P14" s="861"/>
      <c r="Q14" s="586"/>
      <c r="R14" s="586"/>
      <c r="S14" s="586"/>
      <c r="T14" s="586"/>
    </row>
    <row s="31543" customFormat="1" customHeight="1" ht="10.5">
      <c r="B15" s="1195"/>
      <c r="D15" s="544"/>
      <c r="K15" s="861"/>
      <c r="L15" s="861"/>
      <c r="M15" s="861"/>
      <c r="N15" s="861"/>
      <c r="O15" s="587"/>
      <c r="P15" s="861"/>
      <c r="Q15" s="586"/>
      <c r="R15" s="586"/>
      <c r="S15" s="586"/>
      <c r="T15" s="586"/>
    </row>
    <row r="19" customHeight="1" ht="14.25">
      <c r="G19" s="734"/>
      <c r="H19" s="734"/>
      <c r="I19" s="734"/>
    </row>
    <row r="23" customHeight="1" ht="14.25">
      <c r="K23" s="1518"/>
      <c r="L23" s="1518"/>
      <c r="M23" s="1518"/>
    </row>
  </sheetData>
  <sheetProtection formatColumns="0" formatRows="0" autoFilter="0" sort="0" insertRows="0" insertColumns="1" deleteRows="0" deleteColumns="0"/>
  <mergeCells count="5">
    <mergeCell ref="E5:J5"/>
    <mergeCell ref="A9:A10"/>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25495C-66E1-D497-2E45-A4D7A1CAE479}" mc:Ignorable="x14ac xr xr2 xr3">
  <dimension ref="A1:IV14"/>
  <sheetViews>
    <sheetView topLeftCell="A1" showGridLines="0" zoomScale="90" workbookViewId="0">
      <selection activeCell="A1" sqref="A1"/>
    </sheetView>
  </sheetViews>
  <sheetFormatPr defaultColWidth="9.140625" customHeight="1" defaultRowHeight="14.25"/>
  <cols>
    <col min="1" max="1" style="32302" width="9.140625" hidden="1"/>
    <col min="2" max="2" style="32217" width="9.140625" hidden="1"/>
    <col min="3" max="3" style="32302" width="3.7109375" hidden="1" customWidth="1"/>
    <col min="4" max="4" style="32072" width="3.8515625" customWidth="1"/>
    <col min="5" max="5" style="32302" width="6.28125" customWidth="1"/>
    <col min="6" max="6" style="32302" width="27.28125" customWidth="1"/>
    <col min="7" max="7" style="32302" width="16.7109375" customWidth="1"/>
    <col min="8" max="8" style="32302" width="12.7109375" customWidth="1"/>
    <col min="9" max="9" style="32302" width="32.140625" customWidth="1"/>
    <col min="10" max="11" style="32302" width="41.8515625" customWidth="1"/>
    <col min="12" max="12" style="32302" width="89.57421875" customWidth="1"/>
    <col min="13" max="13" style="37630" width="3.7109375" customWidth="1"/>
    <col min="14" max="16" style="37630" width="9.140625"/>
    <col min="17" max="17" style="31552" width="25.7109375" customWidth="1"/>
    <col min="18" max="18" style="37630" width="14.421875" customWidth="1"/>
    <col min="19" max="22" style="31553" width="9.140625"/>
    <col min="23" max="256" style="32302" width="9.140625"/>
  </cols>
  <sheetData>
    <row customHeight="1" ht="14.25" hidden="1"/>
    <row s="31510" customFormat="1" customHeight="1" ht="22.5" hidden="1">
      <c r="A2" s="1192"/>
      <c r="B2" s="1523">
        <v>1</v>
      </c>
      <c r="C2" s="1523"/>
      <c r="D2" s="2293" t="s">
        <v>103</v>
      </c>
      <c r="E2" s="2256"/>
      <c r="F2" s="2259" t="str">
        <f>IF(ROIV_INFO_NAME="","",ROIV_INFO_NAME)</f>
        <v>АО "Мурманэнергосбыт"</v>
      </c>
      <c r="G2" s="2284" t="s">
        <v>24</v>
      </c>
      <c r="H2" s="2283"/>
      <c r="I2" s="1904"/>
      <c r="J2" s="1179"/>
      <c r="K2" s="1179"/>
      <c r="L2" s="589"/>
      <c r="M2" s="1901">
        <f>MERGEVALUE(F2)</f>
      </c>
      <c r="N2" s="872"/>
      <c r="O2" s="872"/>
      <c r="P2" s="861" t="str">
        <f t="array" ref="P2:P2">IF(ISERROR(MATCH(MID(Q2,1,250),MID(note_ter,1,250),0)),"n","y")</f>
        <v>n</v>
      </c>
      <c r="Q2" s="872"/>
      <c r="R2" s="861" t="str">
        <f>G2&amp;"("&amp;L2&amp;")"</f>
        <v>()</v>
      </c>
      <c r="S2" s="1523"/>
      <c r="T2" s="1523"/>
      <c r="U2" s="781"/>
      <c r="V2" s="1523"/>
      <c r="W2" s="1523"/>
      <c r="X2" s="1523"/>
      <c r="Y2" s="783"/>
      <c r="Z2" s="783"/>
      <c r="AA2" s="780"/>
      <c r="AB2" s="780"/>
      <c r="AC2" s="780"/>
      <c r="AD2" s="780"/>
      <c r="AE2" s="780"/>
      <c r="AF2" s="780"/>
      <c r="AG2" s="780"/>
      <c r="AH2" s="780"/>
      <c r="AI2" s="780"/>
      <c r="AJ2" s="780"/>
      <c r="AK2" s="780"/>
      <c r="AL2" s="780"/>
      <c r="AM2" s="780"/>
      <c r="AN2" s="780"/>
      <c r="AO2" s="780"/>
      <c r="AP2" s="780"/>
      <c r="AQ2" s="780"/>
      <c r="AR2" s="780"/>
      <c r="AS2" s="780"/>
      <c r="AT2" s="780"/>
      <c r="AU2" s="780"/>
      <c r="AV2" s="780"/>
      <c r="AW2" s="780"/>
      <c r="AX2" s="780"/>
      <c r="AY2" s="780"/>
      <c r="AZ2" s="780"/>
      <c r="BA2" s="780"/>
      <c r="BB2" s="780"/>
      <c r="BC2" s="780"/>
      <c r="BD2" s="780"/>
      <c r="BE2" s="780"/>
      <c r="BF2" s="780"/>
      <c r="BG2" s="780"/>
      <c r="BH2" s="780"/>
      <c r="BI2" s="780"/>
      <c r="BJ2" s="780"/>
      <c r="BK2" s="780"/>
      <c r="BL2" s="780"/>
      <c r="BM2" s="780"/>
      <c r="BN2" s="780"/>
      <c r="BO2" s="780"/>
      <c r="BP2" s="780"/>
      <c r="BQ2" s="780"/>
      <c r="BR2" s="780"/>
      <c r="BS2" s="780"/>
      <c r="BT2" s="780"/>
      <c r="BU2" s="780"/>
      <c r="BV2" s="783"/>
      <c r="BW2" s="783"/>
      <c r="BX2" s="783"/>
      <c r="BY2" s="783"/>
      <c r="BZ2" s="783"/>
      <c r="CA2" s="783"/>
      <c r="CB2" s="783"/>
      <c r="CC2" s="783"/>
      <c r="CD2" s="783"/>
      <c r="CE2" s="783"/>
    </row>
    <row s="32289" customFormat="1" customHeight="1" ht="5.25" hidden="1">
      <c r="A3" s="857"/>
      <c r="D3" s="855"/>
      <c r="F3" s="608" t="s">
        <v>82</v>
      </c>
      <c r="G3" s="2101" t="s">
        <v>83</v>
      </c>
      <c r="H3" s="855"/>
      <c r="I3" s="855"/>
      <c r="J3" s="855"/>
      <c r="K3" s="855"/>
      <c r="L3" s="588" t="s">
        <v>84</v>
      </c>
      <c r="M3" s="608" t="s">
        <v>82</v>
      </c>
      <c r="N3" s="608"/>
      <c r="O3" s="608"/>
      <c r="P3" s="608"/>
      <c r="Q3" s="609"/>
      <c r="R3" s="608"/>
      <c r="S3" s="608"/>
      <c r="T3" s="608"/>
      <c r="U3" s="608"/>
      <c r="V3" s="608"/>
      <c r="W3" s="588"/>
      <c r="X3" s="588"/>
      <c r="Y3" s="588"/>
      <c r="Z3" s="588"/>
      <c r="AA3" s="588"/>
      <c r="AB3" s="588"/>
      <c r="AC3" s="588"/>
      <c r="AD3" s="588"/>
      <c r="AE3" s="588"/>
      <c r="AF3" s="588"/>
      <c r="AG3" s="588"/>
      <c r="AH3" s="588"/>
      <c r="AI3" s="588"/>
      <c r="AJ3" s="588"/>
      <c r="AK3" s="588"/>
      <c r="AL3" s="588"/>
      <c r="AM3" s="588"/>
      <c r="AN3" s="588"/>
      <c r="AO3" s="588"/>
      <c r="AP3" s="588"/>
      <c r="AQ3" s="588"/>
      <c r="AR3" s="588"/>
      <c r="AS3" s="588"/>
      <c r="AT3" s="588"/>
      <c r="AU3" s="588"/>
      <c r="AV3" s="588"/>
      <c r="AW3" s="588"/>
      <c r="AX3" s="588"/>
      <c r="AY3" s="588"/>
      <c r="AZ3" s="588"/>
      <c r="BA3" s="588"/>
      <c r="BB3" s="588"/>
      <c r="BC3" s="588"/>
      <c r="BD3" s="588"/>
      <c r="BE3" s="588"/>
      <c r="BF3" s="588"/>
      <c r="BG3" s="588"/>
      <c r="BH3" s="588"/>
      <c r="BI3" s="588"/>
      <c r="BJ3" s="588"/>
      <c r="BK3" s="588"/>
      <c r="BL3" s="588"/>
      <c r="BM3" s="588"/>
      <c r="BN3" s="588"/>
      <c r="BO3" s="588"/>
      <c r="BP3" s="588"/>
      <c r="BQ3" s="588"/>
      <c r="BR3" s="588"/>
      <c r="BS3" s="588"/>
      <c r="BT3" s="588"/>
      <c r="BU3" s="588"/>
      <c r="BV3" s="588"/>
      <c r="BW3" s="588"/>
      <c r="BX3" s="588"/>
      <c r="BY3" s="588"/>
      <c r="BZ3" s="588"/>
      <c r="CA3" s="588"/>
      <c r="CB3" s="588"/>
      <c r="CC3" s="588"/>
      <c r="CD3" s="588"/>
      <c r="CE3" s="588"/>
      <c r="CF3" s="588"/>
      <c r="CG3" s="588"/>
      <c r="CH3" s="588"/>
      <c r="CI3" s="588"/>
      <c r="CJ3" s="588"/>
      <c r="CK3" s="588"/>
      <c r="CL3" s="588"/>
      <c r="CM3" s="588"/>
      <c r="CN3" s="588"/>
      <c r="CO3" s="588"/>
      <c r="CP3" s="588"/>
      <c r="CQ3" s="588"/>
      <c r="CR3" s="588"/>
      <c r="CS3" s="588"/>
      <c r="CT3" s="588"/>
      <c r="CU3" s="588"/>
      <c r="CV3" s="588"/>
      <c r="CW3" s="588"/>
      <c r="CX3" s="588"/>
      <c r="CY3" s="588"/>
      <c r="CZ3" s="588"/>
      <c r="DA3" s="588"/>
      <c r="DB3" s="588"/>
      <c r="DC3" s="588"/>
      <c r="DD3" s="588"/>
      <c r="DE3" s="588"/>
      <c r="DF3" s="588"/>
      <c r="DG3" s="588"/>
      <c r="DH3" s="588"/>
      <c r="DI3" s="588"/>
      <c r="DJ3" s="588"/>
      <c r="DK3" s="588"/>
      <c r="DL3" s="588"/>
      <c r="DM3" s="588"/>
      <c r="DN3" s="588"/>
      <c r="DO3" s="588"/>
      <c r="DP3" s="588"/>
      <c r="DQ3" s="588"/>
      <c r="DR3" s="588"/>
      <c r="DS3" s="588"/>
      <c r="DT3" s="588"/>
      <c r="DU3" s="588"/>
      <c r="DV3" s="588"/>
      <c r="DW3" s="588"/>
      <c r="DX3" s="588"/>
      <c r="DY3" s="588"/>
      <c r="DZ3" s="588"/>
      <c r="EA3" s="588"/>
      <c r="EB3" s="588"/>
      <c r="EC3" s="588"/>
      <c r="ED3" s="588"/>
      <c r="EE3" s="588"/>
      <c r="EF3" s="588"/>
      <c r="EG3" s="588"/>
      <c r="EH3" s="588"/>
      <c r="EI3" s="588"/>
      <c r="EJ3" s="588"/>
      <c r="EK3" s="588"/>
      <c r="EL3" s="588"/>
      <c r="EM3" s="588"/>
      <c r="EN3" s="588"/>
      <c r="EO3" s="588"/>
      <c r="EP3" s="588"/>
      <c r="EQ3" s="588"/>
      <c r="ER3" s="588"/>
      <c r="ES3" s="588"/>
      <c r="ET3" s="588"/>
      <c r="EU3" s="588"/>
      <c r="EV3" s="588"/>
      <c r="EW3" s="588"/>
      <c r="EX3" s="588"/>
      <c r="EY3" s="588"/>
      <c r="EZ3" s="588"/>
      <c r="FA3" s="588"/>
      <c r="FB3" s="588"/>
      <c r="FC3" s="588"/>
      <c r="FD3" s="588"/>
      <c r="FE3" s="588"/>
      <c r="FF3" s="588"/>
      <c r="FG3" s="588"/>
      <c r="FH3" s="588"/>
      <c r="FI3" s="588"/>
      <c r="FJ3" s="588"/>
      <c r="FK3" s="588"/>
      <c r="FL3" s="588"/>
      <c r="FM3" s="588"/>
      <c r="FN3" s="588"/>
      <c r="FO3" s="588"/>
      <c r="FP3" s="588"/>
      <c r="FQ3" s="588"/>
      <c r="FR3" s="588"/>
      <c r="FS3" s="588"/>
      <c r="FT3" s="588"/>
      <c r="FU3" s="588"/>
      <c r="FV3" s="588"/>
      <c r="FW3" s="588"/>
      <c r="FX3" s="588"/>
      <c r="FY3" s="588"/>
      <c r="FZ3" s="588"/>
      <c r="GA3" s="588"/>
      <c r="GB3" s="588"/>
      <c r="GC3" s="588"/>
      <c r="GD3" s="588"/>
      <c r="GE3" s="588"/>
      <c r="GF3" s="588"/>
      <c r="GG3" s="588"/>
      <c r="GH3" s="588"/>
      <c r="GI3" s="588"/>
      <c r="GJ3" s="588"/>
      <c r="GK3" s="588"/>
      <c r="GL3" s="588"/>
      <c r="GM3" s="588"/>
      <c r="GN3" s="588"/>
      <c r="GO3" s="588"/>
      <c r="GP3" s="588"/>
      <c r="GQ3" s="588"/>
      <c r="GR3" s="588"/>
      <c r="GS3" s="588"/>
      <c r="GT3" s="588"/>
      <c r="GU3" s="588"/>
      <c r="GV3" s="588"/>
      <c r="GW3" s="588"/>
      <c r="GX3" s="588"/>
      <c r="GY3" s="588"/>
      <c r="GZ3" s="588"/>
      <c r="HA3" s="588"/>
      <c r="HB3" s="588"/>
      <c r="HC3" s="588"/>
      <c r="HD3" s="588"/>
      <c r="HE3" s="588"/>
      <c r="HF3" s="588"/>
      <c r="HG3" s="588"/>
      <c r="HH3" s="588"/>
      <c r="HI3" s="588"/>
      <c r="HJ3" s="588"/>
      <c r="HK3" s="588"/>
      <c r="HL3" s="588"/>
      <c r="HM3" s="588"/>
      <c r="HN3" s="588"/>
      <c r="HO3" s="588"/>
      <c r="HP3" s="588"/>
      <c r="HQ3" s="588"/>
      <c r="HR3" s="588"/>
      <c r="HS3" s="588"/>
      <c r="HT3" s="588"/>
      <c r="HU3" s="588"/>
      <c r="HV3" s="588"/>
      <c r="HW3" s="588"/>
      <c r="HX3" s="588"/>
      <c r="HY3" s="588"/>
      <c r="HZ3" s="588"/>
      <c r="IA3" s="588"/>
      <c r="IB3" s="588"/>
      <c r="IC3" s="588"/>
      <c r="ID3" s="588"/>
      <c r="IE3" s="588"/>
      <c r="IF3" s="588"/>
      <c r="IG3" s="588"/>
      <c r="IH3" s="588"/>
      <c r="II3" s="588"/>
      <c r="IJ3" s="588"/>
      <c r="IK3" s="588"/>
      <c r="IL3" s="588"/>
      <c r="IM3" s="588"/>
      <c r="IN3" s="588"/>
      <c r="IO3" s="588"/>
      <c r="IP3" s="588"/>
      <c r="IQ3" s="588"/>
      <c r="IR3" s="588"/>
      <c r="IS3" s="588"/>
      <c r="IT3" s="588"/>
      <c r="IU3" s="588"/>
      <c r="IV3" s="588"/>
    </row>
    <row s="31501" customFormat="1" customHeight="1" ht="14.25">
      <c r="A4" s="1518"/>
      <c r="B4" s="1523"/>
      <c r="C4" s="1518"/>
      <c r="D4" s="1861"/>
      <c r="E4" s="870"/>
      <c r="F4" s="870"/>
      <c r="G4" s="870"/>
      <c r="H4" s="870"/>
      <c r="I4" s="870"/>
      <c r="J4" s="870"/>
      <c r="K4" s="870"/>
      <c r="L4" s="528"/>
      <c r="M4" s="608"/>
      <c r="N4" s="861"/>
      <c r="O4" s="861"/>
      <c r="P4" s="861"/>
      <c r="Q4" s="587"/>
      <c r="R4" s="861"/>
      <c r="S4" s="586"/>
      <c r="T4" s="586"/>
      <c r="U4" s="586"/>
      <c r="V4" s="586"/>
    </row>
    <row s="31501" customFormat="1" customHeight="1" ht="25.5">
      <c r="A5" s="1518"/>
      <c r="B5" s="1523"/>
      <c r="C5" s="1518"/>
      <c r="D5" s="1861"/>
      <c r="E5" s="237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375"/>
      <c r="G5" s="2375"/>
      <c r="H5" s="2375"/>
      <c r="I5" s="2375"/>
      <c r="J5" s="2375"/>
      <c r="K5" s="2375"/>
      <c r="L5" s="949"/>
      <c r="M5" s="608"/>
      <c r="N5" s="861"/>
      <c r="O5" s="861"/>
      <c r="P5" s="861"/>
      <c r="Q5" s="587"/>
      <c r="R5" s="861"/>
      <c r="S5" s="586"/>
      <c r="T5" s="586"/>
      <c r="U5" s="586"/>
      <c r="V5" s="586"/>
    </row>
    <row s="31501" customFormat="1" customHeight="1" ht="14.25">
      <c r="A6" s="1518"/>
      <c r="B6" s="1523"/>
      <c r="C6" s="1518"/>
      <c r="D6" s="1861"/>
      <c r="E6" s="870"/>
      <c r="F6" s="529"/>
      <c r="G6" s="529"/>
      <c r="H6" s="529"/>
      <c r="I6" s="529"/>
      <c r="J6" s="529"/>
      <c r="K6" s="529"/>
      <c r="L6" s="530"/>
      <c r="M6" s="861"/>
      <c r="N6" s="861"/>
      <c r="O6" s="861"/>
      <c r="P6" s="861"/>
      <c r="Q6" s="587"/>
      <c r="R6" s="861"/>
      <c r="S6" s="586"/>
      <c r="T6" s="586"/>
      <c r="U6" s="586"/>
      <c r="V6" s="586"/>
    </row>
    <row s="31501" customFormat="1" customHeight="1" ht="14.25">
      <c r="A7" s="1518"/>
      <c r="B7" s="1523"/>
      <c r="C7" s="1518"/>
      <c r="D7" s="1861"/>
      <c r="E7" s="2376" t="s">
        <v>341</v>
      </c>
      <c r="F7" s="2377"/>
      <c r="G7" s="2377"/>
      <c r="H7" s="2377"/>
      <c r="I7" s="2377"/>
      <c r="J7" s="2377"/>
      <c r="K7" s="2377"/>
      <c r="L7" s="2740" t="s">
        <v>342</v>
      </c>
      <c r="M7" s="861"/>
      <c r="N7" s="861"/>
      <c r="O7" s="861"/>
      <c r="P7" s="861"/>
      <c r="Q7" s="587"/>
      <c r="R7" s="861"/>
      <c r="S7" s="586"/>
      <c r="T7" s="586"/>
      <c r="U7" s="586"/>
      <c r="V7" s="586"/>
    </row>
    <row s="31501" customFormat="1" customHeight="1" ht="64.5">
      <c r="A8" s="1518"/>
      <c r="B8" s="1523"/>
      <c r="C8" s="1518"/>
      <c r="D8" s="1861"/>
      <c r="E8" s="2744" t="s">
        <v>87</v>
      </c>
      <c r="F8" s="274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74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747"/>
      <c r="I8" s="2748"/>
      <c r="J8" s="274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7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42"/>
      <c r="M8" s="861"/>
      <c r="N8" s="861"/>
      <c r="O8" s="861"/>
      <c r="P8" s="861"/>
      <c r="Q8" s="587"/>
      <c r="R8" s="861"/>
      <c r="S8" s="586"/>
      <c r="T8" s="586"/>
      <c r="U8" s="586"/>
      <c r="V8" s="586"/>
    </row>
    <row s="31501" customFormat="1" customHeight="1" ht="27.75">
      <c r="A9" s="1518"/>
      <c r="B9" s="1523"/>
      <c r="C9" s="1518"/>
      <c r="D9" s="1861"/>
      <c r="E9" s="2745"/>
      <c r="F9" s="2745"/>
      <c r="G9" s="1903" t="s">
        <v>1841</v>
      </c>
      <c r="H9" s="1903" t="s">
        <v>1842</v>
      </c>
      <c r="I9" s="1903" t="s">
        <v>1843</v>
      </c>
      <c r="J9" s="2745"/>
      <c r="K9" s="2745"/>
      <c r="L9" s="2741"/>
      <c r="M9" s="861"/>
      <c r="N9" s="861"/>
      <c r="O9" s="861"/>
      <c r="P9" s="861"/>
      <c r="Q9" s="587"/>
      <c r="R9" s="861"/>
      <c r="S9" s="586"/>
      <c r="T9" s="586"/>
      <c r="U9" s="586"/>
      <c r="V9" s="586"/>
    </row>
    <row s="31510" customFormat="1" customHeight="1" ht="22.5">
      <c r="A10" s="2374"/>
      <c r="B10" s="1523">
        <v>1</v>
      </c>
      <c r="C10" s="1523"/>
      <c r="D10" s="1161"/>
      <c r="E10" s="1159">
        <v>1</v>
      </c>
      <c r="F10" s="1905" t="str">
        <f>IF(ROIV_INFO_NAME="","",ROIV_INFO_NAME)</f>
        <v>АО "Мурманэнергосбыт"</v>
      </c>
      <c r="G10" s="2098" t="s">
        <v>24</v>
      </c>
      <c r="H10" s="2283"/>
      <c r="I10" s="1900"/>
      <c r="J10" s="1179"/>
      <c r="K10" s="1179"/>
      <c r="L10" s="271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901">
        <f>MERGEVALUE(F10)</f>
      </c>
      <c r="N10" s="872"/>
      <c r="O10" s="872"/>
      <c r="P10" s="861" t="str">
        <f t="array" ref="P10:P10">IF(ISERROR(MATCH(MID(Q10,1,250),MID(note_ter,1,250),0)),"n","y")</f>
        <v>n</v>
      </c>
      <c r="Q10" s="872"/>
      <c r="R10" s="86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523"/>
      <c r="T10" s="1523"/>
      <c r="U10" s="781"/>
      <c r="V10" s="1523"/>
      <c r="W10" s="1523"/>
      <c r="X10" s="1523"/>
      <c r="Y10" s="783"/>
      <c r="Z10" s="783"/>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0"/>
      <c r="AY10" s="780"/>
      <c r="AZ10" s="780"/>
      <c r="BA10" s="780"/>
      <c r="BB10" s="780"/>
      <c r="BC10" s="780"/>
      <c r="BD10" s="780"/>
      <c r="BE10" s="780"/>
      <c r="BF10" s="780"/>
      <c r="BG10" s="780"/>
      <c r="BH10" s="780"/>
      <c r="BI10" s="780"/>
      <c r="BJ10" s="780"/>
      <c r="BK10" s="780"/>
      <c r="BL10" s="780"/>
      <c r="BM10" s="780"/>
      <c r="BN10" s="780"/>
      <c r="BO10" s="780"/>
      <c r="BP10" s="780"/>
      <c r="BQ10" s="780"/>
      <c r="BR10" s="780"/>
      <c r="BS10" s="780"/>
      <c r="BT10" s="780"/>
      <c r="BU10" s="780"/>
      <c r="BV10" s="783"/>
      <c r="BW10" s="783"/>
      <c r="BX10" s="783"/>
      <c r="BY10" s="783"/>
      <c r="BZ10" s="783"/>
      <c r="CA10" s="783"/>
      <c r="CB10" s="783"/>
      <c r="CC10" s="783"/>
      <c r="CD10" s="783"/>
      <c r="CE10" s="783"/>
    </row>
    <row s="31510" customFormat="1" customHeight="1" ht="15">
      <c r="A11" s="2374"/>
      <c r="B11" s="1523"/>
      <c r="C11" s="773"/>
      <c r="D11" s="1162"/>
      <c r="E11" s="782"/>
      <c r="F11" s="777" t="s">
        <v>1844</v>
      </c>
      <c r="G11" s="548"/>
      <c r="H11" s="548"/>
      <c r="I11" s="548"/>
      <c r="J11" s="548"/>
      <c r="K11" s="785"/>
      <c r="L11" s="2743"/>
      <c r="M11" s="1902"/>
      <c r="N11" s="872"/>
      <c r="O11" s="872"/>
      <c r="P11" s="872"/>
      <c r="Q11" s="861"/>
      <c r="R11" s="872"/>
      <c r="S11" s="1523"/>
      <c r="T11" s="1523"/>
      <c r="U11" s="781"/>
      <c r="V11" s="1523"/>
      <c r="W11" s="1523"/>
      <c r="X11" s="1523"/>
      <c r="Y11" s="783"/>
      <c r="Z11" s="783"/>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0"/>
      <c r="AY11" s="780"/>
      <c r="AZ11" s="780"/>
      <c r="BA11" s="780"/>
      <c r="BB11" s="780"/>
      <c r="BC11" s="780"/>
      <c r="BD11" s="780"/>
      <c r="BE11" s="780"/>
      <c r="BF11" s="780"/>
      <c r="BG11" s="780"/>
      <c r="BH11" s="780"/>
      <c r="BI11" s="780"/>
      <c r="BJ11" s="780"/>
      <c r="BK11" s="780"/>
      <c r="BL11" s="780"/>
      <c r="BM11" s="780"/>
      <c r="BN11" s="780"/>
      <c r="BO11" s="780"/>
      <c r="BP11" s="780"/>
      <c r="BQ11" s="780"/>
      <c r="BR11" s="780"/>
      <c r="BS11" s="780"/>
      <c r="BT11" s="780"/>
      <c r="BU11" s="780"/>
      <c r="BV11" s="783"/>
      <c r="BW11" s="783"/>
      <c r="BX11" s="783"/>
      <c r="BY11" s="783"/>
      <c r="BZ11" s="783"/>
      <c r="CA11" s="783"/>
      <c r="CB11" s="783"/>
      <c r="CC11" s="783"/>
      <c r="CD11" s="783"/>
      <c r="CE11" s="783"/>
    </row>
    <row s="31501" customFormat="1" customHeight="1" ht="21">
      <c r="A12" s="1518"/>
      <c r="B12" s="1523"/>
      <c r="C12" s="1518"/>
      <c r="D12" s="812"/>
      <c r="E12" s="542"/>
      <c r="F12" s="542"/>
      <c r="G12" s="542"/>
      <c r="H12" s="542"/>
      <c r="I12" s="542"/>
      <c r="J12" s="542"/>
      <c r="K12" s="542"/>
      <c r="L12" s="542"/>
      <c r="M12" s="861"/>
      <c r="N12" s="861"/>
      <c r="O12" s="861"/>
      <c r="P12" s="861"/>
      <c r="Q12" s="587"/>
      <c r="R12" s="861"/>
      <c r="S12" s="586"/>
      <c r="T12" s="586"/>
      <c r="U12" s="586"/>
      <c r="V12" s="586"/>
    </row>
    <row s="31501" customFormat="1" customHeight="1" ht="14.25">
      <c r="A13" s="1518"/>
      <c r="B13" s="1523"/>
      <c r="C13" s="1518"/>
      <c r="D13" s="812"/>
      <c r="E13" s="1518"/>
      <c r="F13" s="1518"/>
      <c r="G13" s="1518"/>
      <c r="H13" s="1518"/>
      <c r="I13" s="1518"/>
      <c r="J13" s="1518"/>
      <c r="K13" s="1518"/>
      <c r="L13" s="1518"/>
      <c r="M13" s="861"/>
      <c r="N13" s="861"/>
      <c r="O13" s="861"/>
      <c r="P13" s="861"/>
      <c r="Q13" s="587"/>
      <c r="R13" s="861"/>
      <c r="S13" s="586"/>
      <c r="T13" s="586"/>
      <c r="U13" s="586"/>
      <c r="V13" s="586"/>
    </row>
    <row s="31501" customFormat="1" customHeight="1" ht="0.75">
      <c r="A14" s="1518"/>
      <c r="B14" s="1523"/>
      <c r="C14" s="1518"/>
      <c r="D14" s="812"/>
      <c r="E14" s="1518"/>
      <c r="F14" s="1518"/>
      <c r="G14" s="1518"/>
      <c r="H14" s="1518"/>
      <c r="I14" s="1518"/>
      <c r="J14" s="1518"/>
      <c r="K14" s="1518"/>
      <c r="L14" s="1518"/>
      <c r="M14" s="861"/>
      <c r="N14" s="861"/>
      <c r="O14" s="861"/>
      <c r="P14" s="861"/>
      <c r="Q14" s="587"/>
      <c r="R14" s="861"/>
      <c r="S14" s="586"/>
      <c r="T14" s="586"/>
      <c r="U14" s="586"/>
      <c r="V14" s="586"/>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281F81-454A-99FF-8718-E77662017EF4}" mc:Ignorable="x14ac xr xr2 xr3">
  <dimension ref="A1:IV14"/>
  <sheetViews>
    <sheetView topLeftCell="A1" showGridLines="0" zoomScale="90" workbookViewId="0">
      <selection activeCell="A1" sqref="A1"/>
    </sheetView>
  </sheetViews>
  <sheetFormatPr defaultColWidth="9.140625" customHeight="1" defaultRowHeight="14.25"/>
  <cols>
    <col min="1" max="1" style="32343" width="9.140625" hidden="1"/>
    <col min="2" max="2" style="32328" width="9.140625" hidden="1"/>
    <col min="3" max="3" style="32343" width="3.7109375" hidden="1" customWidth="1"/>
    <col min="4" max="4" style="37658" width="3.8515625" customWidth="1"/>
    <col min="5" max="5" style="32343" width="6.28125" customWidth="1"/>
    <col min="6" max="6" style="32343" width="27.28125" customWidth="1"/>
    <col min="7" max="7" style="32343" width="16.7109375" customWidth="1"/>
    <col min="8" max="8" style="32343" width="12.7109375" customWidth="1"/>
    <col min="9" max="9" style="32343" width="32.140625" customWidth="1"/>
    <col min="10" max="11" style="32343" width="41.8515625" customWidth="1"/>
    <col min="12" max="12" style="32343" width="89.57421875" customWidth="1"/>
    <col min="13" max="13" style="37659" width="3.7109375" customWidth="1"/>
    <col min="14" max="16" style="37659" width="9.140625"/>
    <col min="17" max="17" style="37659" width="25.7109375" customWidth="1"/>
    <col min="18" max="18" style="37659" width="14.421875" customWidth="1"/>
    <col min="19" max="22" style="31553" width="9.140625"/>
    <col min="23" max="256" style="32343" width="9.140625"/>
  </cols>
  <sheetData>
    <row customHeight="1" ht="14.25" hidden="1"/>
    <row s="37648" customFormat="1" customHeight="1" ht="22.5" hidden="1">
      <c r="A2" s="1192"/>
      <c r="B2" s="1732">
        <v>1</v>
      </c>
      <c r="C2" s="1732"/>
      <c r="D2" s="2294" t="s">
        <v>103</v>
      </c>
      <c r="E2" s="2271"/>
      <c r="F2" s="2273" t="str">
        <f>IF(ROIV_INFO_NAME="","",ROIV_INFO_NAME)</f>
        <v>АО "Мурманэнергосбыт"</v>
      </c>
      <c r="G2" s="2098" t="s">
        <v>24</v>
      </c>
      <c r="H2" s="2283"/>
      <c r="I2" s="1904"/>
      <c r="J2" s="1179"/>
      <c r="K2" s="1179"/>
      <c r="L2" s="589"/>
      <c r="M2" s="1901">
        <f>MERGEVALUE(F2)</f>
      </c>
      <c r="N2" s="2002"/>
      <c r="O2" s="2002"/>
      <c r="P2" s="1990" t="str">
        <f t="array" ref="P2:P2">IF(ISERROR(MATCH(MID(Q2,1,250),MID(note_ter,1,250),0)),"n","y")</f>
        <v>n</v>
      </c>
      <c r="Q2" s="2002"/>
      <c r="R2" s="1990" t="str">
        <f>G2&amp;"("&amp;L2&amp;")"</f>
        <v>()</v>
      </c>
      <c r="S2" s="1732"/>
      <c r="T2" s="1732"/>
      <c r="U2" s="781"/>
      <c r="V2" s="1732"/>
      <c r="W2" s="1732"/>
      <c r="X2" s="1732"/>
      <c r="Y2" s="1194"/>
      <c r="Z2" s="1194"/>
      <c r="AA2" s="988"/>
      <c r="AB2" s="988"/>
      <c r="AC2" s="988"/>
      <c r="AD2" s="988"/>
      <c r="AE2" s="988"/>
      <c r="AF2" s="988"/>
      <c r="AG2" s="988"/>
      <c r="AH2" s="988"/>
      <c r="AI2" s="988"/>
      <c r="AJ2" s="988"/>
      <c r="AK2" s="988"/>
      <c r="AL2" s="988"/>
      <c r="AM2" s="988"/>
      <c r="AN2" s="988"/>
      <c r="AO2" s="988"/>
      <c r="AP2" s="988"/>
      <c r="AQ2" s="988"/>
      <c r="AR2" s="988"/>
      <c r="AS2" s="988"/>
      <c r="AT2" s="988"/>
      <c r="AU2" s="988"/>
      <c r="AV2" s="988"/>
      <c r="AW2" s="988"/>
      <c r="AX2" s="988"/>
      <c r="AY2" s="988"/>
      <c r="AZ2" s="988"/>
      <c r="BA2" s="988"/>
      <c r="BB2" s="988"/>
      <c r="BC2" s="988"/>
      <c r="BD2" s="988"/>
      <c r="BE2" s="988"/>
      <c r="BF2" s="988"/>
      <c r="BG2" s="988"/>
      <c r="BH2" s="988"/>
      <c r="BI2" s="988"/>
      <c r="BJ2" s="988"/>
      <c r="BK2" s="988"/>
      <c r="BL2" s="988"/>
      <c r="BM2" s="988"/>
      <c r="BN2" s="988"/>
      <c r="BO2" s="988"/>
      <c r="BP2" s="988"/>
      <c r="BQ2" s="988"/>
      <c r="BR2" s="988"/>
      <c r="BS2" s="988"/>
      <c r="BT2" s="988"/>
      <c r="BU2" s="988"/>
      <c r="BV2" s="1194"/>
      <c r="BW2" s="1194"/>
      <c r="BX2" s="1194"/>
      <c r="BY2" s="1194"/>
      <c r="BZ2" s="1194"/>
      <c r="CA2" s="1194"/>
      <c r="CB2" s="1194"/>
      <c r="CC2" s="1194"/>
      <c r="CD2" s="1194"/>
      <c r="CE2" s="1194"/>
    </row>
    <row s="32341" customFormat="1" customHeight="1" ht="5.25" hidden="1">
      <c r="A3" s="2007"/>
      <c r="D3" s="2260"/>
      <c r="F3" s="609" t="s">
        <v>82</v>
      </c>
      <c r="G3" s="2101" t="s">
        <v>83</v>
      </c>
      <c r="H3" s="2260"/>
      <c r="I3" s="2260"/>
      <c r="J3" s="2260"/>
      <c r="K3" s="2260"/>
      <c r="L3" s="588" t="s">
        <v>84</v>
      </c>
      <c r="M3" s="609" t="s">
        <v>82</v>
      </c>
      <c r="N3" s="609"/>
      <c r="O3" s="609"/>
      <c r="P3" s="609"/>
      <c r="Q3" s="609"/>
      <c r="R3" s="609"/>
      <c r="S3" s="609"/>
      <c r="T3" s="609"/>
      <c r="U3" s="609"/>
      <c r="V3" s="609"/>
      <c r="W3" s="588"/>
      <c r="X3" s="588"/>
      <c r="Y3" s="588"/>
      <c r="Z3" s="588"/>
      <c r="AA3" s="588"/>
      <c r="AB3" s="588"/>
      <c r="AC3" s="588"/>
      <c r="AD3" s="588"/>
      <c r="AE3" s="588"/>
      <c r="AF3" s="588"/>
      <c r="AG3" s="588"/>
      <c r="AH3" s="588"/>
      <c r="AI3" s="588"/>
      <c r="AJ3" s="588"/>
      <c r="AK3" s="588"/>
      <c r="AL3" s="588"/>
      <c r="AM3" s="588"/>
      <c r="AN3" s="588"/>
      <c r="AO3" s="588"/>
      <c r="AP3" s="588"/>
      <c r="AQ3" s="588"/>
      <c r="AR3" s="588"/>
      <c r="AS3" s="588"/>
      <c r="AT3" s="588"/>
      <c r="AU3" s="588"/>
      <c r="AV3" s="588"/>
      <c r="AW3" s="588"/>
      <c r="AX3" s="588"/>
      <c r="AY3" s="588"/>
      <c r="AZ3" s="588"/>
      <c r="BA3" s="588"/>
      <c r="BB3" s="588"/>
      <c r="BC3" s="588"/>
      <c r="BD3" s="588"/>
      <c r="BE3" s="588"/>
      <c r="BF3" s="588"/>
      <c r="BG3" s="588"/>
      <c r="BH3" s="588"/>
      <c r="BI3" s="588"/>
      <c r="BJ3" s="588"/>
      <c r="BK3" s="588"/>
      <c r="BL3" s="588"/>
      <c r="BM3" s="588"/>
      <c r="BN3" s="588"/>
      <c r="BO3" s="588"/>
      <c r="BP3" s="588"/>
      <c r="BQ3" s="588"/>
      <c r="BR3" s="588"/>
      <c r="BS3" s="588"/>
      <c r="BT3" s="588"/>
      <c r="BU3" s="588"/>
      <c r="BV3" s="588"/>
      <c r="BW3" s="588"/>
      <c r="BX3" s="588"/>
      <c r="BY3" s="588"/>
      <c r="BZ3" s="588"/>
      <c r="CA3" s="588"/>
      <c r="CB3" s="588"/>
      <c r="CC3" s="588"/>
      <c r="CD3" s="588"/>
      <c r="CE3" s="588"/>
      <c r="CF3" s="588"/>
      <c r="CG3" s="588"/>
      <c r="CH3" s="588"/>
      <c r="CI3" s="588"/>
      <c r="CJ3" s="588"/>
      <c r="CK3" s="588"/>
      <c r="CL3" s="588"/>
      <c r="CM3" s="588"/>
      <c r="CN3" s="588"/>
      <c r="CO3" s="588"/>
      <c r="CP3" s="588"/>
      <c r="CQ3" s="588"/>
      <c r="CR3" s="588"/>
      <c r="CS3" s="588"/>
      <c r="CT3" s="588"/>
      <c r="CU3" s="588"/>
      <c r="CV3" s="588"/>
      <c r="CW3" s="588"/>
      <c r="CX3" s="588"/>
      <c r="CY3" s="588"/>
      <c r="CZ3" s="588"/>
      <c r="DA3" s="588"/>
      <c r="DB3" s="588"/>
      <c r="DC3" s="588"/>
      <c r="DD3" s="588"/>
      <c r="DE3" s="588"/>
      <c r="DF3" s="588"/>
      <c r="DG3" s="588"/>
      <c r="DH3" s="588"/>
      <c r="DI3" s="588"/>
      <c r="DJ3" s="588"/>
      <c r="DK3" s="588"/>
      <c r="DL3" s="588"/>
      <c r="DM3" s="588"/>
      <c r="DN3" s="588"/>
      <c r="DO3" s="588"/>
      <c r="DP3" s="588"/>
      <c r="DQ3" s="588"/>
      <c r="DR3" s="588"/>
      <c r="DS3" s="588"/>
      <c r="DT3" s="588"/>
      <c r="DU3" s="588"/>
      <c r="DV3" s="588"/>
      <c r="DW3" s="588"/>
      <c r="DX3" s="588"/>
      <c r="DY3" s="588"/>
      <c r="DZ3" s="588"/>
      <c r="EA3" s="588"/>
      <c r="EB3" s="588"/>
      <c r="EC3" s="588"/>
      <c r="ED3" s="588"/>
      <c r="EE3" s="588"/>
      <c r="EF3" s="588"/>
      <c r="EG3" s="588"/>
      <c r="EH3" s="588"/>
      <c r="EI3" s="588"/>
      <c r="EJ3" s="588"/>
      <c r="EK3" s="588"/>
      <c r="EL3" s="588"/>
      <c r="EM3" s="588"/>
      <c r="EN3" s="588"/>
      <c r="EO3" s="588"/>
      <c r="EP3" s="588"/>
      <c r="EQ3" s="588"/>
      <c r="ER3" s="588"/>
      <c r="ES3" s="588"/>
      <c r="ET3" s="588"/>
      <c r="EU3" s="588"/>
      <c r="EV3" s="588"/>
      <c r="EW3" s="588"/>
      <c r="EX3" s="588"/>
      <c r="EY3" s="588"/>
      <c r="EZ3" s="588"/>
      <c r="FA3" s="588"/>
      <c r="FB3" s="588"/>
      <c r="FC3" s="588"/>
      <c r="FD3" s="588"/>
      <c r="FE3" s="588"/>
      <c r="FF3" s="588"/>
      <c r="FG3" s="588"/>
      <c r="FH3" s="588"/>
      <c r="FI3" s="588"/>
      <c r="FJ3" s="588"/>
      <c r="FK3" s="588"/>
      <c r="FL3" s="588"/>
      <c r="FM3" s="588"/>
      <c r="FN3" s="588"/>
      <c r="FO3" s="588"/>
      <c r="FP3" s="588"/>
      <c r="FQ3" s="588"/>
      <c r="FR3" s="588"/>
      <c r="FS3" s="588"/>
      <c r="FT3" s="588"/>
      <c r="FU3" s="588"/>
      <c r="FV3" s="588"/>
      <c r="FW3" s="588"/>
      <c r="FX3" s="588"/>
      <c r="FY3" s="588"/>
      <c r="FZ3" s="588"/>
      <c r="GA3" s="588"/>
      <c r="GB3" s="588"/>
      <c r="GC3" s="588"/>
      <c r="GD3" s="588"/>
      <c r="GE3" s="588"/>
      <c r="GF3" s="588"/>
      <c r="GG3" s="588"/>
      <c r="GH3" s="588"/>
      <c r="GI3" s="588"/>
      <c r="GJ3" s="588"/>
      <c r="GK3" s="588"/>
      <c r="GL3" s="588"/>
      <c r="GM3" s="588"/>
      <c r="GN3" s="588"/>
      <c r="GO3" s="588"/>
      <c r="GP3" s="588"/>
      <c r="GQ3" s="588"/>
      <c r="GR3" s="588"/>
      <c r="GS3" s="588"/>
      <c r="GT3" s="588"/>
      <c r="GU3" s="588"/>
      <c r="GV3" s="588"/>
      <c r="GW3" s="588"/>
      <c r="GX3" s="588"/>
      <c r="GY3" s="588"/>
      <c r="GZ3" s="588"/>
      <c r="HA3" s="588"/>
      <c r="HB3" s="588"/>
      <c r="HC3" s="588"/>
      <c r="HD3" s="588"/>
      <c r="HE3" s="588"/>
      <c r="HF3" s="588"/>
      <c r="HG3" s="588"/>
      <c r="HH3" s="588"/>
      <c r="HI3" s="588"/>
      <c r="HJ3" s="588"/>
      <c r="HK3" s="588"/>
      <c r="HL3" s="588"/>
      <c r="HM3" s="588"/>
      <c r="HN3" s="588"/>
      <c r="HO3" s="588"/>
      <c r="HP3" s="588"/>
      <c r="HQ3" s="588"/>
      <c r="HR3" s="588"/>
      <c r="HS3" s="588"/>
      <c r="HT3" s="588"/>
      <c r="HU3" s="588"/>
      <c r="HV3" s="588"/>
      <c r="HW3" s="588"/>
      <c r="HX3" s="588"/>
      <c r="HY3" s="588"/>
      <c r="HZ3" s="588"/>
      <c r="IA3" s="588"/>
      <c r="IB3" s="588"/>
      <c r="IC3" s="588"/>
      <c r="ID3" s="588"/>
      <c r="IE3" s="588"/>
      <c r="IF3" s="588"/>
      <c r="IG3" s="588"/>
      <c r="IH3" s="588"/>
      <c r="II3" s="588"/>
      <c r="IJ3" s="588"/>
      <c r="IK3" s="588"/>
      <c r="IL3" s="588"/>
      <c r="IM3" s="588"/>
      <c r="IN3" s="588"/>
      <c r="IO3" s="588"/>
      <c r="IP3" s="588"/>
      <c r="IQ3" s="588"/>
      <c r="IR3" s="588"/>
      <c r="IS3" s="588"/>
      <c r="IT3" s="588"/>
      <c r="IU3" s="588"/>
      <c r="IV3" s="588"/>
    </row>
    <row s="31861" customFormat="1" customHeight="1" ht="14.25">
      <c r="A4" s="1997"/>
      <c r="B4" s="1732"/>
      <c r="C4" s="1997"/>
      <c r="D4" s="1881"/>
      <c r="E4" s="2001"/>
      <c r="F4" s="2001"/>
      <c r="G4" s="2001"/>
      <c r="H4" s="2001"/>
      <c r="I4" s="2001"/>
      <c r="J4" s="2001"/>
      <c r="K4" s="2001"/>
      <c r="L4" s="2262"/>
      <c r="M4" s="609"/>
      <c r="N4" s="1990"/>
      <c r="O4" s="1990"/>
      <c r="P4" s="1990"/>
      <c r="Q4" s="1990"/>
      <c r="R4" s="1990"/>
      <c r="S4" s="586"/>
      <c r="T4" s="586"/>
      <c r="U4" s="586"/>
      <c r="V4" s="586"/>
    </row>
    <row s="31861" customFormat="1" customHeight="1" ht="25.5">
      <c r="A5" s="1997"/>
      <c r="B5" s="1732"/>
      <c r="C5" s="1997"/>
      <c r="D5" s="1881"/>
      <c r="E5" s="237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375"/>
      <c r="G5" s="2375"/>
      <c r="H5" s="2375"/>
      <c r="I5" s="2375"/>
      <c r="J5" s="2375"/>
      <c r="K5" s="2375"/>
      <c r="L5" s="2001"/>
      <c r="M5" s="609"/>
      <c r="N5" s="1990"/>
      <c r="O5" s="1990"/>
      <c r="P5" s="1990"/>
      <c r="Q5" s="1990"/>
      <c r="R5" s="1990"/>
      <c r="S5" s="586"/>
      <c r="T5" s="586"/>
      <c r="U5" s="586"/>
      <c r="V5" s="586"/>
    </row>
    <row s="31861" customFormat="1" customHeight="1" ht="14.25">
      <c r="A6" s="1997"/>
      <c r="B6" s="1732"/>
      <c r="C6" s="1997"/>
      <c r="D6" s="1881"/>
      <c r="E6" s="2001"/>
      <c r="F6" s="977"/>
      <c r="G6" s="977"/>
      <c r="H6" s="977"/>
      <c r="I6" s="977"/>
      <c r="J6" s="977"/>
      <c r="K6" s="977"/>
      <c r="L6" s="1617"/>
      <c r="M6" s="1990"/>
      <c r="N6" s="1990"/>
      <c r="O6" s="1990"/>
      <c r="P6" s="1990"/>
      <c r="Q6" s="1990"/>
      <c r="R6" s="1990"/>
      <c r="S6" s="586"/>
      <c r="T6" s="586"/>
      <c r="U6" s="586"/>
      <c r="V6" s="586"/>
    </row>
    <row s="31861" customFormat="1" customHeight="1" ht="14.25">
      <c r="A7" s="1997"/>
      <c r="B7" s="1732"/>
      <c r="C7" s="1997"/>
      <c r="D7" s="1881"/>
      <c r="E7" s="2376" t="s">
        <v>341</v>
      </c>
      <c r="F7" s="2377"/>
      <c r="G7" s="2377"/>
      <c r="H7" s="2377"/>
      <c r="I7" s="2377"/>
      <c r="J7" s="2377"/>
      <c r="K7" s="2377"/>
      <c r="L7" s="2740" t="s">
        <v>342</v>
      </c>
      <c r="M7" s="1990"/>
      <c r="N7" s="1990"/>
      <c r="O7" s="1990"/>
      <c r="P7" s="1990"/>
      <c r="Q7" s="1990"/>
      <c r="R7" s="1990"/>
      <c r="S7" s="586"/>
      <c r="T7" s="586"/>
      <c r="U7" s="586"/>
      <c r="V7" s="586"/>
    </row>
    <row s="31861" customFormat="1" customHeight="1" ht="64.5">
      <c r="A8" s="1997"/>
      <c r="B8" s="1732"/>
      <c r="C8" s="1997"/>
      <c r="D8" s="1881"/>
      <c r="E8" s="2744" t="s">
        <v>87</v>
      </c>
      <c r="F8" s="2744" t="s">
        <v>1845</v>
      </c>
      <c r="G8" s="2746" t="s">
        <v>1846</v>
      </c>
      <c r="H8" s="2747"/>
      <c r="I8" s="2748"/>
      <c r="J8" s="2744" t="s">
        <v>1847</v>
      </c>
      <c r="K8" s="27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42"/>
      <c r="M8" s="1990"/>
      <c r="N8" s="1990"/>
      <c r="O8" s="1990"/>
      <c r="P8" s="1990"/>
      <c r="Q8" s="1990"/>
      <c r="R8" s="1990"/>
      <c r="S8" s="586"/>
      <c r="T8" s="586"/>
      <c r="U8" s="586"/>
      <c r="V8" s="586"/>
    </row>
    <row s="31861" customFormat="1" customHeight="1" ht="27.75">
      <c r="A9" s="1997"/>
      <c r="B9" s="1732"/>
      <c r="C9" s="1997"/>
      <c r="D9" s="1881"/>
      <c r="E9" s="2745"/>
      <c r="F9" s="2745"/>
      <c r="G9" s="2261" t="s">
        <v>1841</v>
      </c>
      <c r="H9" s="2261" t="s">
        <v>1842</v>
      </c>
      <c r="I9" s="2261" t="s">
        <v>1843</v>
      </c>
      <c r="J9" s="2745"/>
      <c r="K9" s="2745"/>
      <c r="L9" s="2741"/>
      <c r="M9" s="1990"/>
      <c r="N9" s="1990"/>
      <c r="O9" s="1990"/>
      <c r="P9" s="1990"/>
      <c r="Q9" s="1990"/>
      <c r="R9" s="1990"/>
      <c r="S9" s="586"/>
      <c r="T9" s="586"/>
      <c r="U9" s="586"/>
      <c r="V9" s="586"/>
    </row>
    <row s="37648" customFormat="1" customHeight="1" ht="0.75">
      <c r="A10" s="2374"/>
      <c r="B10" s="1732">
        <v>1</v>
      </c>
      <c r="C10" s="1732"/>
      <c r="D10" s="1161"/>
      <c r="E10" s="1156">
        <v>0</v>
      </c>
      <c r="F10" s="2258" t="str">
        <f>IF(ROIV_INFO_NAME="","",ROIV_INFO_NAME)</f>
        <v>АО "Мурманэнергосбыт"</v>
      </c>
      <c r="G10" s="2099" t="s">
        <v>24</v>
      </c>
      <c r="H10" s="2270"/>
      <c r="I10" s="2270"/>
      <c r="J10" s="880"/>
      <c r="K10" s="880"/>
      <c r="L10" s="271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901">
        <f>MERGEVALUE(F10)</f>
      </c>
      <c r="N10" s="2002"/>
      <c r="O10" s="2002"/>
      <c r="P10" s="1990" t="str">
        <f t="array" ref="P10:P10">IF(ISERROR(MATCH(MID(Q10,1,250),MID(note_ter,1,250),0)),"n","y")</f>
        <v>n</v>
      </c>
      <c r="Q10" s="2002"/>
      <c r="R10" s="199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732"/>
      <c r="T10" s="1732"/>
      <c r="U10" s="781"/>
      <c r="V10" s="1732"/>
      <c r="W10" s="1732"/>
      <c r="X10" s="1732"/>
      <c r="Y10" s="1194"/>
      <c r="Z10" s="1194"/>
      <c r="AA10" s="988"/>
      <c r="AB10" s="988"/>
      <c r="AC10" s="988"/>
      <c r="AD10" s="988"/>
      <c r="AE10" s="988"/>
      <c r="AF10" s="988"/>
      <c r="AG10" s="988"/>
      <c r="AH10" s="988"/>
      <c r="AI10" s="988"/>
      <c r="AJ10" s="988"/>
      <c r="AK10" s="988"/>
      <c r="AL10" s="988"/>
      <c r="AM10" s="988"/>
      <c r="AN10" s="988"/>
      <c r="AO10" s="988"/>
      <c r="AP10" s="988"/>
      <c r="AQ10" s="988"/>
      <c r="AR10" s="988"/>
      <c r="AS10" s="988"/>
      <c r="AT10" s="988"/>
      <c r="AU10" s="988"/>
      <c r="AV10" s="988"/>
      <c r="AW10" s="988"/>
      <c r="AX10" s="988"/>
      <c r="AY10" s="988"/>
      <c r="AZ10" s="988"/>
      <c r="BA10" s="988"/>
      <c r="BB10" s="988"/>
      <c r="BC10" s="988"/>
      <c r="BD10" s="988"/>
      <c r="BE10" s="988"/>
      <c r="BF10" s="988"/>
      <c r="BG10" s="988"/>
      <c r="BH10" s="988"/>
      <c r="BI10" s="988"/>
      <c r="BJ10" s="988"/>
      <c r="BK10" s="988"/>
      <c r="BL10" s="988"/>
      <c r="BM10" s="988"/>
      <c r="BN10" s="988"/>
      <c r="BO10" s="988"/>
      <c r="BP10" s="988"/>
      <c r="BQ10" s="988"/>
      <c r="BR10" s="988"/>
      <c r="BS10" s="988"/>
      <c r="BT10" s="988"/>
      <c r="BU10" s="988"/>
      <c r="BV10" s="1194"/>
      <c r="BW10" s="1194"/>
      <c r="BX10" s="1194"/>
      <c r="BY10" s="1194"/>
      <c r="BZ10" s="1194"/>
      <c r="CA10" s="1194"/>
      <c r="CB10" s="1194"/>
      <c r="CC10" s="1194"/>
      <c r="CD10" s="1194"/>
      <c r="CE10" s="1194"/>
    </row>
    <row s="37648" customFormat="1" customHeight="1" ht="15">
      <c r="A11" s="2374"/>
      <c r="B11" s="1732"/>
      <c r="C11" s="773"/>
      <c r="D11" s="1162"/>
      <c r="E11" s="782"/>
      <c r="F11" s="1012" t="s">
        <v>1844</v>
      </c>
      <c r="G11" s="548"/>
      <c r="H11" s="548"/>
      <c r="I11" s="548"/>
      <c r="J11" s="548"/>
      <c r="K11" s="785"/>
      <c r="L11" s="2743"/>
      <c r="M11" s="1902"/>
      <c r="N11" s="2002"/>
      <c r="O11" s="2002"/>
      <c r="P11" s="2002"/>
      <c r="Q11" s="1990"/>
      <c r="R11" s="2002"/>
      <c r="S11" s="1732"/>
      <c r="T11" s="1732"/>
      <c r="U11" s="781"/>
      <c r="V11" s="1732"/>
      <c r="W11" s="1732"/>
      <c r="X11" s="1732"/>
      <c r="Y11" s="1194"/>
      <c r="Z11" s="1194"/>
      <c r="AA11" s="988"/>
      <c r="AB11" s="988"/>
      <c r="AC11" s="988"/>
      <c r="AD11" s="988"/>
      <c r="AE11" s="988"/>
      <c r="AF11" s="988"/>
      <c r="AG11" s="988"/>
      <c r="AH11" s="988"/>
      <c r="AI11" s="988"/>
      <c r="AJ11" s="988"/>
      <c r="AK11" s="988"/>
      <c r="AL11" s="988"/>
      <c r="AM11" s="988"/>
      <c r="AN11" s="988"/>
      <c r="AO11" s="988"/>
      <c r="AP11" s="988"/>
      <c r="AQ11" s="988"/>
      <c r="AR11" s="988"/>
      <c r="AS11" s="988"/>
      <c r="AT11" s="988"/>
      <c r="AU11" s="988"/>
      <c r="AV11" s="988"/>
      <c r="AW11" s="988"/>
      <c r="AX11" s="988"/>
      <c r="AY11" s="988"/>
      <c r="AZ11" s="988"/>
      <c r="BA11" s="988"/>
      <c r="BB11" s="988"/>
      <c r="BC11" s="988"/>
      <c r="BD11" s="988"/>
      <c r="BE11" s="988"/>
      <c r="BF11" s="988"/>
      <c r="BG11" s="988"/>
      <c r="BH11" s="988"/>
      <c r="BI11" s="988"/>
      <c r="BJ11" s="988"/>
      <c r="BK11" s="988"/>
      <c r="BL11" s="988"/>
      <c r="BM11" s="988"/>
      <c r="BN11" s="988"/>
      <c r="BO11" s="988"/>
      <c r="BP11" s="988"/>
      <c r="BQ11" s="988"/>
      <c r="BR11" s="988"/>
      <c r="BS11" s="988"/>
      <c r="BT11" s="988"/>
      <c r="BU11" s="988"/>
      <c r="BV11" s="1194"/>
      <c r="BW11" s="1194"/>
      <c r="BX11" s="1194"/>
      <c r="BY11" s="1194"/>
      <c r="BZ11" s="1194"/>
      <c r="CA11" s="1194"/>
      <c r="CB11" s="1194"/>
      <c r="CC11" s="1194"/>
      <c r="CD11" s="1194"/>
      <c r="CE11" s="1194"/>
    </row>
    <row s="31861" customFormat="1" customHeight="1" ht="21">
      <c r="A12" s="1997"/>
      <c r="B12" s="1732"/>
      <c r="C12" s="1997"/>
      <c r="D12" s="1999"/>
      <c r="E12" s="542"/>
      <c r="F12" s="542"/>
      <c r="G12" s="542"/>
      <c r="H12" s="542"/>
      <c r="I12" s="542"/>
      <c r="J12" s="542"/>
      <c r="K12" s="542"/>
      <c r="L12" s="542"/>
      <c r="M12" s="1990"/>
      <c r="N12" s="1990"/>
      <c r="O12" s="1990"/>
      <c r="P12" s="1990"/>
      <c r="Q12" s="1990"/>
      <c r="R12" s="1990"/>
      <c r="S12" s="586"/>
      <c r="T12" s="586"/>
      <c r="U12" s="586"/>
      <c r="V12" s="586"/>
    </row>
    <row s="31861" customFormat="1" customHeight="1" ht="14.25">
      <c r="A13" s="1997"/>
      <c r="B13" s="1732"/>
      <c r="C13" s="1997"/>
      <c r="D13" s="1999"/>
      <c r="E13" s="1997"/>
      <c r="F13" s="1997"/>
      <c r="G13" s="1997"/>
      <c r="H13" s="1997"/>
      <c r="I13" s="1997"/>
      <c r="J13" s="1997"/>
      <c r="K13" s="1997"/>
      <c r="L13" s="1997"/>
      <c r="M13" s="1990"/>
      <c r="N13" s="1990"/>
      <c r="O13" s="1990"/>
      <c r="P13" s="1990"/>
      <c r="Q13" s="1990"/>
      <c r="R13" s="1990"/>
      <c r="S13" s="586"/>
      <c r="T13" s="586"/>
      <c r="U13" s="586"/>
      <c r="V13" s="586"/>
    </row>
    <row s="31861" customFormat="1" customHeight="1" ht="0.75">
      <c r="A14" s="1997"/>
      <c r="B14" s="1732"/>
      <c r="C14" s="1997"/>
      <c r="D14" s="1999"/>
      <c r="E14" s="1997"/>
      <c r="F14" s="1997"/>
      <c r="G14" s="1997"/>
      <c r="H14" s="1997"/>
      <c r="I14" s="1997"/>
      <c r="J14" s="1997"/>
      <c r="K14" s="1997"/>
      <c r="L14" s="1997"/>
      <c r="M14" s="1990"/>
      <c r="N14" s="1990"/>
      <c r="O14" s="1990"/>
      <c r="P14" s="1990"/>
      <c r="Q14" s="1990"/>
      <c r="R14" s="1990"/>
      <c r="S14" s="586"/>
      <c r="T14" s="586"/>
      <c r="U14" s="586"/>
      <c r="V14" s="586"/>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F7446-F6DA-CCA5-9B93-8EA16DE83D52}" mc:Ignorable="x14ac xr xr2 xr3">
  <dimension ref="A1:P18"/>
  <sheetViews>
    <sheetView topLeftCell="A1" showGridLines="0" zoomScale="90" workbookViewId="0">
      <selection activeCell="A1" sqref="A1"/>
    </sheetView>
  </sheetViews>
  <sheetFormatPr defaultColWidth="9.140625" customHeight="1" defaultRowHeight="14.25"/>
  <cols>
    <col min="1" max="1" style="32302" width="9.140625" hidden="1"/>
    <col min="2" max="2" style="32217" width="9.140625" hidden="1"/>
    <col min="3" max="3" style="32302" width="3.7109375" hidden="1" customWidth="1"/>
    <col min="4" max="4" style="32072" width="3.8515625" customWidth="1"/>
    <col min="5" max="5" style="32302" width="6.28125" customWidth="1"/>
    <col min="6" max="6" style="32302" width="27.28125" customWidth="1"/>
    <col min="7" max="7" style="32302" width="29.28125" customWidth="1"/>
    <col min="8" max="8" style="32302" width="25.421875" customWidth="1"/>
    <col min="9" max="9" style="32302" width="5.57421875" customWidth="1"/>
    <col min="10" max="10" style="32302" width="6.57421875" customWidth="1"/>
    <col min="11" max="11" style="32302" width="41.8515625" customWidth="1"/>
    <col min="12" max="12" style="32302" width="42.421875" customWidth="1"/>
    <col min="13" max="13" style="32302" width="41.57421875" customWidth="1"/>
    <col min="14" max="14" style="32343" width="89.57421875" customWidth="1"/>
    <col min="15" max="15" style="37630" width="3.7109375" customWidth="1"/>
    <col min="16" max="16" style="37630" width="9.140625"/>
  </cols>
  <sheetData>
    <row customHeight="1" ht="14.25" hidden="1"/>
    <row s="31510" customFormat="1" customHeight="1" ht="22.5" hidden="1">
      <c r="A2" s="857"/>
      <c r="B2" s="1523">
        <v>1</v>
      </c>
      <c r="C2" s="1523"/>
      <c r="D2" s="2295" t="s">
        <v>103</v>
      </c>
      <c r="E2" s="2392">
        <v>1</v>
      </c>
      <c r="F2" s="2757" t="str">
        <f>IF(region_name="","",region_name)</f>
        <v>Мурманская область</v>
      </c>
      <c r="G2" s="2758"/>
      <c r="H2" s="2759"/>
      <c r="I2" s="835"/>
      <c r="J2" s="2277">
        <v>1</v>
      </c>
      <c r="K2" s="2279"/>
      <c r="L2" s="2279"/>
      <c r="M2" s="2279"/>
      <c r="N2" s="853"/>
      <c r="O2" s="1901"/>
      <c r="P2" s="872"/>
    </row>
    <row s="31510" customFormat="1" customHeight="1" ht="22.5" hidden="1">
      <c r="A3" s="1192"/>
      <c r="B3" s="1523"/>
      <c r="C3" s="1523"/>
      <c r="D3" s="1162"/>
      <c r="E3" s="2392"/>
      <c r="F3" s="2757"/>
      <c r="G3" s="2758"/>
      <c r="H3" s="2760"/>
      <c r="I3" s="782"/>
      <c r="J3" s="1866"/>
      <c r="K3" s="1866" t="s">
        <v>1848</v>
      </c>
      <c r="L3" s="1909"/>
      <c r="M3" s="2287"/>
      <c r="N3" s="2280"/>
      <c r="O3" s="1901"/>
      <c r="P3" s="872"/>
    </row>
    <row s="32289" customFormat="1" customHeight="1" ht="5.25" hidden="1">
      <c r="A4" s="857"/>
      <c r="D4" s="855"/>
      <c r="F4" s="608" t="s">
        <v>82</v>
      </c>
      <c r="G4" s="855" t="s">
        <v>83</v>
      </c>
      <c r="H4" s="855"/>
      <c r="I4" s="2290"/>
      <c r="J4" s="1910"/>
      <c r="K4" s="2278"/>
      <c r="L4" s="2278"/>
      <c r="M4" s="2278"/>
      <c r="N4" s="2274"/>
      <c r="O4" s="608" t="s">
        <v>82</v>
      </c>
      <c r="P4" s="608"/>
    </row>
    <row s="37648" customFormat="1" customHeight="1" ht="22.5" hidden="1">
      <c r="A5" s="2007"/>
      <c r="B5" s="1732">
        <v>1</v>
      </c>
      <c r="C5" s="1732"/>
      <c r="D5" s="1162"/>
      <c r="E5" s="2280"/>
      <c r="F5" s="2280"/>
      <c r="G5" s="2280"/>
      <c r="H5" s="2291"/>
      <c r="I5" s="2296" t="s">
        <v>103</v>
      </c>
      <c r="J5" s="2289">
        <v>1</v>
      </c>
      <c r="K5" s="2279"/>
      <c r="L5" s="2279"/>
      <c r="M5" s="2279"/>
      <c r="N5" s="853"/>
      <c r="O5" s="1901"/>
      <c r="P5" s="2002"/>
    </row>
    <row s="31501" customFormat="1" customHeight="1" ht="14.25">
      <c r="A6" s="1518"/>
      <c r="B6" s="1523"/>
      <c r="C6" s="1518"/>
      <c r="D6" s="1861"/>
      <c r="E6" s="870"/>
      <c r="F6" s="870"/>
      <c r="G6" s="870"/>
      <c r="H6" s="870"/>
      <c r="I6" s="870"/>
      <c r="J6" s="870"/>
      <c r="K6" s="870"/>
      <c r="L6" s="870"/>
      <c r="M6" s="870"/>
      <c r="N6" s="2001"/>
      <c r="O6" s="608"/>
      <c r="P6" s="861"/>
    </row>
    <row s="31501" customFormat="1" customHeight="1" ht="25.5">
      <c r="A7" s="1518"/>
      <c r="B7" s="1523"/>
      <c r="C7" s="1518"/>
      <c r="D7" s="1861"/>
      <c r="E7" s="275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51"/>
      <c r="G7" s="2751"/>
      <c r="H7" s="2751"/>
      <c r="I7" s="2751"/>
      <c r="J7" s="2751"/>
      <c r="K7" s="2751"/>
      <c r="L7" s="2751"/>
      <c r="M7" s="2751"/>
      <c r="N7" s="1617"/>
      <c r="O7" s="608"/>
      <c r="P7" s="861"/>
    </row>
    <row s="31501" customFormat="1" customHeight="1" ht="14.25">
      <c r="A8" s="1518"/>
      <c r="B8" s="1523"/>
      <c r="C8" s="1518"/>
      <c r="D8" s="1861"/>
      <c r="E8" s="870"/>
      <c r="F8" s="529"/>
      <c r="G8" s="529"/>
      <c r="H8" s="529"/>
      <c r="I8" s="529"/>
      <c r="J8" s="529"/>
      <c r="K8" s="529"/>
      <c r="L8" s="529"/>
      <c r="M8" s="529"/>
      <c r="N8" s="977"/>
      <c r="O8" s="861"/>
      <c r="P8" s="861"/>
    </row>
    <row s="37677" customFormat="1" customHeight="1" ht="14.25" hidden="1">
      <c r="A9" s="1834"/>
      <c r="B9" s="1844"/>
      <c r="C9" s="1834"/>
      <c r="D9" s="1861"/>
      <c r="E9" s="2281"/>
      <c r="F9" s="2281"/>
      <c r="G9" s="2281"/>
      <c r="H9" s="2281"/>
      <c r="I9" s="2754"/>
      <c r="J9" s="2754"/>
      <c r="K9" s="2754"/>
      <c r="L9" s="2281"/>
      <c r="M9" s="2282"/>
      <c r="O9" s="1911"/>
      <c r="P9" s="1911"/>
    </row>
    <row s="31501" customFormat="1" customHeight="1" ht="14.25">
      <c r="A10" s="1518"/>
      <c r="B10" s="1523"/>
      <c r="C10" s="1518"/>
      <c r="D10" s="1861"/>
      <c r="E10" s="2392" t="s">
        <v>341</v>
      </c>
      <c r="F10" s="2392"/>
      <c r="G10" s="2392"/>
      <c r="H10" s="2392"/>
      <c r="I10" s="2392"/>
      <c r="J10" s="2392"/>
      <c r="K10" s="2392"/>
      <c r="L10" s="2392"/>
      <c r="M10" s="2376"/>
      <c r="N10" s="2744" t="s">
        <v>342</v>
      </c>
      <c r="O10" s="861"/>
      <c r="P10" s="861"/>
    </row>
    <row s="31861" customFormat="1" customHeight="1" ht="42">
      <c r="A11" s="1997"/>
      <c r="B11" s="1732"/>
      <c r="C11" s="1997"/>
      <c r="D11" s="1881"/>
      <c r="E11" s="2753" t="s">
        <v>87</v>
      </c>
      <c r="F11" s="2753" t="s">
        <v>345</v>
      </c>
      <c r="G11" s="2753" t="s">
        <v>1849</v>
      </c>
      <c r="H11" s="2753"/>
      <c r="I11" s="2753" t="s">
        <v>1850</v>
      </c>
      <c r="J11" s="2753"/>
      <c r="K11" s="2753"/>
      <c r="L11" s="2753" t="s">
        <v>1851</v>
      </c>
      <c r="M11" s="2746" t="s">
        <v>1852</v>
      </c>
      <c r="N11" s="2752"/>
      <c r="O11" s="1990"/>
      <c r="P11" s="1990"/>
    </row>
    <row s="31501" customFormat="1" customHeight="1" ht="27.75">
      <c r="A12" s="1518"/>
      <c r="B12" s="1523"/>
      <c r="C12" s="1518"/>
      <c r="D12" s="1861"/>
      <c r="E12" s="2744"/>
      <c r="F12" s="2753"/>
      <c r="G12" s="2276" t="s">
        <v>1853</v>
      </c>
      <c r="H12" s="2276" t="s">
        <v>349</v>
      </c>
      <c r="I12" s="2753"/>
      <c r="J12" s="2753"/>
      <c r="K12" s="2753"/>
      <c r="L12" s="2753"/>
      <c r="M12" s="2746"/>
      <c r="N12" s="2745"/>
      <c r="O12" s="861"/>
      <c r="P12" s="861"/>
    </row>
    <row s="31510" customFormat="1" customHeight="1" ht="22.5">
      <c r="A13" s="2374">
        <v>26379339</v>
      </c>
      <c r="B13" s="1523">
        <v>1</v>
      </c>
      <c r="C13" s="1523"/>
      <c r="D13" s="1162"/>
      <c r="E13" s="2392">
        <v>1</v>
      </c>
      <c r="F13" s="2761" t="str">
        <f>IF(region_name="","",region_name)</f>
        <v>Мурманская область</v>
      </c>
      <c r="G13" s="2762"/>
      <c r="H13" s="2755"/>
      <c r="I13" s="835"/>
      <c r="J13" s="2272">
        <v>1</v>
      </c>
      <c r="K13" s="2285"/>
      <c r="L13" s="2286"/>
      <c r="M13" s="2286"/>
      <c r="N13" s="2749" t="s">
        <v>1854</v>
      </c>
      <c r="O13" s="1901"/>
      <c r="P13" s="872"/>
    </row>
    <row s="31510" customFormat="1" customHeight="1" ht="22.5">
      <c r="A14" s="2374"/>
      <c r="B14" s="1523"/>
      <c r="C14" s="1523"/>
      <c r="D14" s="1162"/>
      <c r="E14" s="2392"/>
      <c r="F14" s="2761"/>
      <c r="G14" s="2762"/>
      <c r="H14" s="2756"/>
      <c r="I14" s="782"/>
      <c r="J14" s="1866"/>
      <c r="K14" s="1866" t="s">
        <v>1848</v>
      </c>
      <c r="L14" s="1909"/>
      <c r="M14" s="1909"/>
      <c r="N14" s="2750"/>
      <c r="O14" s="1901"/>
      <c r="P14" s="872"/>
    </row>
    <row s="31510" customFormat="1" customHeight="1" ht="22.5">
      <c r="A15" s="2374"/>
      <c r="B15" s="1523"/>
      <c r="C15" s="773"/>
      <c r="D15" s="1162"/>
      <c r="E15" s="782"/>
      <c r="F15" s="1866" t="s">
        <v>1840</v>
      </c>
      <c r="G15" s="1908"/>
      <c r="H15" s="1908"/>
      <c r="I15" s="548"/>
      <c r="J15" s="548"/>
      <c r="K15" s="548"/>
      <c r="L15" s="548"/>
      <c r="M15" s="548"/>
      <c r="N15" s="2750"/>
      <c r="O15" s="1902"/>
      <c r="P15" s="872"/>
    </row>
    <row s="31501" customFormat="1" customHeight="1" ht="21">
      <c r="A16" s="1518"/>
      <c r="B16" s="1523"/>
      <c r="C16" s="1518"/>
      <c r="D16" s="812"/>
      <c r="E16" s="542"/>
      <c r="F16" s="542"/>
      <c r="G16" s="542"/>
      <c r="H16" s="542"/>
      <c r="I16" s="542"/>
      <c r="J16" s="542"/>
      <c r="K16" s="542"/>
      <c r="L16" s="542"/>
      <c r="M16" s="870"/>
      <c r="N16" s="2001"/>
      <c r="O16" s="861"/>
      <c r="P16" s="861"/>
    </row>
    <row s="31501" customFormat="1" customHeight="1" ht="14.25">
      <c r="A17" s="1518"/>
      <c r="B17" s="1523"/>
      <c r="C17" s="1518"/>
      <c r="D17" s="812"/>
      <c r="E17" s="1518"/>
      <c r="F17" s="1518"/>
      <c r="G17" s="1518"/>
      <c r="H17" s="1518"/>
      <c r="I17" s="1518"/>
      <c r="J17" s="1518"/>
      <c r="K17" s="1518"/>
      <c r="L17" s="1518"/>
      <c r="M17" s="1518"/>
      <c r="N17" s="1997"/>
      <c r="O17" s="861"/>
      <c r="P17" s="861"/>
    </row>
    <row s="31501" customFormat="1" customHeight="1" ht="0.75">
      <c r="A18" s="1518"/>
      <c r="B18" s="1523"/>
      <c r="C18" s="1518"/>
      <c r="D18" s="812"/>
      <c r="E18" s="1518"/>
      <c r="F18" s="1518"/>
      <c r="G18" s="1518"/>
      <c r="H18" s="1518"/>
      <c r="I18" s="1518"/>
      <c r="J18" s="1518"/>
      <c r="K18" s="1518"/>
      <c r="L18" s="1518"/>
      <c r="M18" s="1518"/>
      <c r="N18" s="1997"/>
      <c r="O18" s="861"/>
      <c r="P18" s="861"/>
    </row>
  </sheetData>
  <sheetProtection formatColumns="0" formatRows="0" autoFilter="0" sort="0" insertRows="0" insertColumns="1" deleteRows="0" deleteColumns="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3D2A5-4419-1831-1444-C576CFE54842}"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37698" width="9.140625" hidden="1"/>
    <col min="2" max="2" style="37716" width="9.140625" hidden="1"/>
    <col min="3" max="3" style="37717" width="3.7109375" customWidth="1"/>
    <col min="4" max="4" style="37718" width="7.00390625" customWidth="1"/>
    <col min="5" max="5" style="37718" width="23.140625" customWidth="1"/>
    <col min="6" max="6" style="37718" width="16.00390625" customWidth="1"/>
    <col min="7" max="7" style="37718" width="14.8515625" customWidth="1"/>
    <col min="8" max="8" style="37718" width="47.8515625" customWidth="1"/>
    <col min="9" max="9" style="37718" width="115.7109375" customWidth="1"/>
    <col min="10" max="10" style="37718" width="3.7109375" customWidth="1"/>
    <col min="11" max="12" style="37718" width="9.140625"/>
  </cols>
  <sheetData>
    <row customHeight="1" ht="14.25" hidden="1"/>
    <row customHeight="1" ht="14.25" hidden="1"/>
    <row customHeight="1" ht="14.25" hidden="1"/>
    <row customHeight="1" ht="3"/>
    <row s="31550" customFormat="1" customHeight="1" ht="30">
      <c r="A5" s="477"/>
      <c r="C5" s="451"/>
      <c r="D5" s="2375" t="s">
        <v>1855</v>
      </c>
      <c r="E5" s="2375"/>
      <c r="F5" s="2375"/>
      <c r="G5" s="2375"/>
      <c r="H5" s="2375"/>
      <c r="I5" s="626"/>
    </row>
    <row customHeight="1" ht="3" hidden="1">
      <c r="D6" s="484"/>
      <c r="E6" s="484"/>
      <c r="F6" s="484"/>
      <c r="G6" s="484"/>
      <c r="H6" s="484"/>
      <c r="I6" s="484"/>
    </row>
    <row s="37698" customFormat="1" customHeight="1" ht="14.25">
      <c r="B7" s="481"/>
      <c r="C7" s="482"/>
      <c r="D7" s="485"/>
      <c r="E7" s="485"/>
      <c r="F7" s="485"/>
      <c r="G7" s="485"/>
      <c r="H7" s="1113"/>
      <c r="I7" s="485"/>
      <c r="J7" s="486"/>
    </row>
    <row customHeight="1" ht="14.25">
      <c r="D8" s="2482" t="s">
        <v>341</v>
      </c>
      <c r="E8" s="2482"/>
      <c r="F8" s="2482"/>
      <c r="G8" s="2482"/>
      <c r="H8" s="2482"/>
      <c r="I8" s="2482" t="s">
        <v>342</v>
      </c>
    </row>
    <row customHeight="1" ht="27.75">
      <c r="D9" s="2482" t="s">
        <v>87</v>
      </c>
      <c r="E9" s="2482" t="s">
        <v>1856</v>
      </c>
      <c r="F9" s="2482"/>
      <c r="G9" s="2482"/>
      <c r="H9" s="2482"/>
      <c r="I9" s="2482"/>
    </row>
    <row customHeight="1" ht="22.5">
      <c r="D10" s="2482"/>
      <c r="E10" s="489" t="s">
        <v>1857</v>
      </c>
      <c r="F10" s="489" t="s">
        <v>1858</v>
      </c>
      <c r="G10" s="489" t="s">
        <v>1859</v>
      </c>
      <c r="H10" s="489" t="s">
        <v>431</v>
      </c>
      <c r="I10" s="2482"/>
    </row>
    <row customHeight="1" ht="12" hidden="1">
      <c r="D11" s="448" t="s">
        <v>118</v>
      </c>
      <c r="E11" s="448" t="s">
        <v>90</v>
      </c>
      <c r="F11" s="448" t="s">
        <v>119</v>
      </c>
      <c r="G11" s="448" t="s">
        <v>91</v>
      </c>
      <c r="H11" s="448" t="s">
        <v>92</v>
      </c>
      <c r="I11" s="448" t="s">
        <v>120</v>
      </c>
    </row>
    <row s="37704" customFormat="1" customHeight="1" ht="24.75">
      <c r="A12" s="507" t="s">
        <v>89</v>
      </c>
      <c r="B12" s="487" t="s">
        <v>24</v>
      </c>
      <c r="C12" s="488"/>
      <c r="D12" s="490" t="s">
        <v>118</v>
      </c>
      <c r="E12" s="742"/>
      <c r="F12" s="742"/>
      <c r="G12" s="2100" t="s">
        <v>24</v>
      </c>
      <c r="H12" s="743"/>
      <c r="I12" s="2436" t="s">
        <v>1860</v>
      </c>
      <c r="K12" s="633"/>
      <c r="L12" s="634"/>
    </row>
    <row customHeight="1" ht="15">
      <c r="A13" s="483"/>
      <c r="B13" s="483"/>
      <c r="C13" s="483"/>
      <c r="D13" s="471"/>
      <c r="E13" s="492" t="s">
        <v>506</v>
      </c>
      <c r="F13" s="491"/>
      <c r="G13" s="491"/>
      <c r="H13" s="575"/>
      <c r="I13" s="2438"/>
    </row>
    <row customHeight="1" ht="3">
      <c r="A14" s="483"/>
      <c r="B14" s="483"/>
      <c r="C14" s="483"/>
    </row>
    <row customHeight="1" ht="27.75">
      <c r="E15" s="2763" t="s">
        <v>1861</v>
      </c>
      <c r="F15" s="2763"/>
      <c r="G15" s="2763"/>
      <c r="H15" s="2763"/>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48307-CFD9-8DBB-E451-F00B5226688C}" mc:Ignorable="x14ac xr xr2 xr3">
  <sheetPr>
    <tabColor rgb="FFCCCCFF"/>
    <pageSetUpPr fitToPage="1"/>
  </sheetPr>
  <dimension ref="A1:I15"/>
  <sheetViews>
    <sheetView topLeftCell="A1" showGridLines="0" zoomScale="90" workbookViewId="0">
      <selection activeCell="E12" sqref="E12"/>
    </sheetView>
  </sheetViews>
  <sheetFormatPr defaultColWidth="9.140625" customHeight="1" defaultRowHeight="14.25"/>
  <cols>
    <col min="1" max="2" style="37735" width="9.140625" hidden="1"/>
    <col min="3" max="3" style="37736" width="3.7109375" customWidth="1"/>
    <col min="4" max="4" style="37735" width="6.28125" customWidth="1"/>
    <col min="5" max="5" style="37735" width="94.8515625" customWidth="1"/>
    <col min="6" max="9" style="37735" width="9.140625"/>
  </cols>
  <sheetData>
    <row customHeight="1" ht="14.25" hidden="1"/>
    <row customHeight="1" ht="14.25" hidden="1"/>
    <row customHeight="1" ht="14.25" hidden="1"/>
    <row customHeight="1" ht="14.25" hidden="1"/>
    <row customHeight="1" ht="14.25" hidden="1"/>
    <row customHeight="1" ht="3">
      <c r="C6" s="453"/>
      <c r="D6" s="431"/>
      <c r="E6" s="431"/>
    </row>
    <row customHeight="1" ht="22.5">
      <c r="C7" s="453"/>
      <c r="D7" s="2764" t="s">
        <v>1862</v>
      </c>
      <c r="E7" s="2765"/>
      <c r="F7" s="628"/>
    </row>
    <row customHeight="1" ht="3">
      <c r="C8" s="453"/>
      <c r="D8" s="431"/>
      <c r="E8" s="431"/>
    </row>
    <row customHeight="1" ht="15.75">
      <c r="C9" s="453"/>
      <c r="D9" s="467" t="s">
        <v>87</v>
      </c>
      <c r="E9" s="621" t="s">
        <v>1863</v>
      </c>
    </row>
    <row customHeight="1" ht="0.75">
      <c r="C10" s="453"/>
      <c r="D10" s="448"/>
      <c r="E10" s="448"/>
    </row>
    <row customHeight="1" ht="11.25" hidden="1">
      <c r="C11" s="453"/>
      <c r="D11" s="512">
        <v>0</v>
      </c>
      <c r="E11" s="622"/>
    </row>
    <row customHeight="1" ht="48.333333333333336">
      <c r="C12" s="498"/>
      <c r="D12" s="475">
        <v>1</v>
      </c>
      <c r="E12" s="738" t="s">
        <v>1864</v>
      </c>
    </row>
    <row customHeight="1" ht="12">
      <c r="C13" s="453"/>
      <c r="D13" s="623"/>
      <c r="E13" s="624" t="s">
        <v>1865</v>
      </c>
    </row>
    <row customHeight="1" ht="3"/>
    <row customHeight="1" ht="22.5">
      <c r="C15" s="499"/>
      <c r="D15" s="2766" t="s">
        <v>1866</v>
      </c>
      <c r="E15" s="2766"/>
      <c r="F15" s="500"/>
      <c r="G15" s="500"/>
      <c r="H15" s="500"/>
      <c r="I15" s="500"/>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D0CD5-64A8-ECA7-C973-A7BFADC55C73}"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37735" width="9.140625" hidden="1"/>
    <col min="3" max="3" style="37736" width="3.7109375" customWidth="1"/>
    <col min="4" max="4" style="37735" width="6.28125" customWidth="1"/>
    <col min="5" max="5" style="37735" width="94.8515625" customWidth="1"/>
    <col min="6" max="12" style="37735" width="9.140625"/>
  </cols>
  <sheetData>
    <row customHeight="1" ht="14.25" hidden="1">
      <c r="L1" s="625"/>
    </row>
    <row customHeight="1" ht="14.25" hidden="1"/>
    <row customHeight="1" ht="14.25" hidden="1"/>
    <row customHeight="1" ht="14.25" hidden="1"/>
    <row customHeight="1" ht="14.25" hidden="1"/>
    <row customHeight="1" ht="3">
      <c r="C6" s="453"/>
      <c r="D6" s="431"/>
      <c r="E6" s="431"/>
    </row>
    <row customHeight="1" ht="22.5">
      <c r="C7" s="453"/>
      <c r="D7" s="2375" t="s">
        <v>1867</v>
      </c>
      <c r="E7" s="2375"/>
      <c r="F7" s="628"/>
    </row>
    <row customHeight="1" ht="3">
      <c r="C8" s="453"/>
      <c r="D8" s="431"/>
      <c r="E8" s="431"/>
    </row>
    <row customHeight="1" ht="15.75">
      <c r="C9" s="453"/>
      <c r="D9" s="467" t="s">
        <v>87</v>
      </c>
      <c r="E9" s="470" t="s">
        <v>328</v>
      </c>
    </row>
    <row customHeight="1" ht="12">
      <c r="C10" s="453"/>
      <c r="D10" s="448" t="s">
        <v>118</v>
      </c>
      <c r="E10" s="448" t="s">
        <v>102</v>
      </c>
    </row>
    <row customHeight="1" ht="15" hidden="1">
      <c r="C11" s="453"/>
      <c r="D11" s="475">
        <v>0</v>
      </c>
      <c r="E11" s="511"/>
    </row>
    <row customHeight="1" ht="14.25">
      <c r="C12" s="453"/>
      <c r="D12" s="471"/>
      <c r="E12" s="469" t="s">
        <v>1865</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29E0D-DBD9-F6FD-913D-4CA4C1BE3F2A}"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37743" width="1.7109375" customWidth="1"/>
    <col min="2" max="2" style="37743" width="34.57421875" customWidth="1"/>
    <col min="3" max="3" style="37743" width="85.57421875" customWidth="1"/>
    <col min="4" max="4" style="37743" width="17.7109375" customWidth="1"/>
    <col min="5" max="5" style="37743" width="9.140625"/>
  </cols>
  <sheetData>
    <row customHeight="1" ht="3"/>
    <row customHeight="1" ht="22.5">
      <c r="B2" s="2767" t="s">
        <v>1868</v>
      </c>
      <c r="C2" s="2767"/>
      <c r="D2" s="2767"/>
      <c r="E2" s="629"/>
    </row>
    <row customHeight="1" ht="3"/>
    <row customHeight="1" ht="21.75">
      <c r="B4" s="744" t="s">
        <v>1869</v>
      </c>
      <c r="C4" s="744" t="s">
        <v>1870</v>
      </c>
      <c r="D4" s="744" t="s">
        <v>1871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32E73C-29D6-1A58-605A-8B241327EE7A}" mc:Ignorable="x14ac xr xr2 xr3">
  <sheetPr>
    <tabColor rgb="FFFFCC99"/>
  </sheetPr>
  <dimension ref="A1:GB215"/>
  <sheetViews>
    <sheetView topLeftCell="A1" showGridLines="0" zoomScale="85" workbookViewId="0">
      <selection activeCell="A1" sqref="A1"/>
    </sheetView>
  </sheetViews>
  <sheetFormatPr customHeight="1" defaultRowHeight="17.1"/>
  <cols>
    <col min="1" max="1" style="37743" width="26.57421875" customWidth="1"/>
    <col min="2" max="2" style="37743" width="10.00390625" customWidth="1"/>
    <col min="3" max="3" style="37743" width="9.140625"/>
    <col min="4" max="4" style="37743" width="11.140625" customWidth="1"/>
    <col min="5" max="5" style="37743" width="16.57421875" customWidth="1"/>
    <col min="6" max="6" style="37743" width="16.28125" customWidth="1"/>
    <col min="7" max="7" style="37743" width="19.140625" customWidth="1"/>
    <col min="8" max="11" style="37743" width="10.00390625" customWidth="1"/>
    <col min="12" max="12" style="37743" width="12.7109375" customWidth="1"/>
    <col min="13" max="13" style="37743" width="61.28125" customWidth="1"/>
    <col min="14" max="14" style="37743" width="10.00390625" customWidth="1"/>
    <col min="15" max="17" style="37743" width="23.7109375" customWidth="1"/>
    <col min="18" max="18" style="37743" width="11.7109375" customWidth="1"/>
    <col min="19" max="19" style="37743" width="8.57421875" customWidth="1"/>
    <col min="20" max="20" style="37743" width="11.7109375" customWidth="1"/>
    <col min="21" max="21" style="37743" width="8.57421875" customWidth="1"/>
    <col min="22" max="22" style="37743" width="4.7109375" customWidth="1"/>
    <col min="23" max="23" style="37743" width="115.7109375" customWidth="1"/>
    <col min="24" max="24" style="37743" width="115.28125" customWidth="1"/>
    <col min="25" max="27" style="37743" width="9.140625"/>
    <col min="28" max="28" style="37743" width="115.7109375" customWidth="1"/>
    <col min="29" max="29" style="37743" width="9.140625"/>
    <col min="30" max="90" style="37743" width="115.7109375" customWidth="1"/>
    <col min="91" max="184" style="37743" width="9.140625"/>
  </cols>
  <sheetData>
    <row r="2" s="37744" customFormat="1" customHeight="1" ht="17.25">
      <c r="A2" s="2181" t="s">
        <v>1872</v>
      </c>
    </row>
    <row r="4" s="37735" customFormat="1" customHeight="1" ht="15">
      <c r="C4" s="2182"/>
      <c r="D4" s="475"/>
      <c r="E4" s="738"/>
    </row>
    <row r="6" s="37744" customFormat="1" customHeight="1" ht="17.25">
      <c r="A6" s="2181" t="s">
        <v>1873</v>
      </c>
    </row>
    <row r="8" s="37735" customFormat="1" customHeight="1" ht="17.25">
      <c r="C8" s="2183"/>
      <c r="D8" s="475"/>
      <c r="E8" s="476"/>
    </row>
    <row r="11" s="37744" customFormat="1" customHeight="1" ht="17.25">
      <c r="A11" s="2181" t="s">
        <v>1874</v>
      </c>
    </row>
    <row r="13" s="37749" customFormat="1" customHeight="1" ht="15">
      <c r="A13" s="2502">
        <v>1</v>
      </c>
      <c r="B13" s="1523"/>
      <c r="C13" s="1162" t="s">
        <v>103</v>
      </c>
      <c r="D13" s="2184"/>
      <c r="E13" s="2171">
        <f>A13</f>
        <v>1</v>
      </c>
      <c r="F13" s="1165"/>
      <c r="G13" s="901" t="str">
        <f>"Территория "&amp;E13</f>
        <v>Территория 1</v>
      </c>
      <c r="H13" s="1153"/>
      <c r="I13" s="1153"/>
      <c r="J13" s="1150"/>
      <c r="K13" s="1990"/>
      <c r="L13" s="1990"/>
      <c r="M13" s="1990"/>
      <c r="N13" s="587"/>
      <c r="O13" s="1990"/>
      <c r="P13" s="586"/>
      <c r="Q13" s="586"/>
      <c r="R13" s="586"/>
      <c r="S13" s="586"/>
    </row>
    <row s="31510" customFormat="1" customHeight="1" ht="15">
      <c r="A14" s="2502"/>
      <c r="B14" s="1523">
        <v>1</v>
      </c>
      <c r="C14" s="1523"/>
      <c r="D14" s="1161"/>
      <c r="E14" s="2179" t="str">
        <f>A13&amp;"."&amp;B14</f>
        <v>1.1</v>
      </c>
      <c r="F14" s="1164">
        <f>$F$20</f>
        <v>0</v>
      </c>
      <c r="G14" s="1154"/>
      <c r="H14" s="1154"/>
      <c r="I14" s="1152"/>
      <c r="J14" s="1990"/>
      <c r="K14" s="2002"/>
      <c r="L14" s="2002"/>
      <c r="M14" s="1990" t="str">
        <f t="array" ref="M14:M14">IF(ISERROR(MATCH(MID(N14,1,250),MID(note_ter,1,250),0)),"n","y")</f>
        <v>n</v>
      </c>
      <c r="N14" s="2002"/>
      <c r="O14" s="1990" t="str">
        <f>H14&amp;"("&amp;I14&amp;")"</f>
        <v>()</v>
      </c>
      <c r="P14" s="1523"/>
      <c r="Q14" s="1523"/>
      <c r="R14" s="781"/>
      <c r="S14" s="1523"/>
      <c r="T14" s="1523"/>
      <c r="U14" s="1523"/>
      <c r="V14" s="783"/>
      <c r="W14" s="783"/>
      <c r="X14" s="780"/>
      <c r="Y14" s="780"/>
      <c r="Z14" s="780"/>
      <c r="AA14" s="780"/>
      <c r="AB14" s="780"/>
      <c r="AC14" s="780"/>
      <c r="AD14" s="780"/>
      <c r="AE14" s="780"/>
      <c r="AF14" s="780"/>
      <c r="AG14" s="780"/>
      <c r="AH14" s="780"/>
      <c r="AI14" s="780"/>
      <c r="AJ14" s="780"/>
      <c r="AK14" s="780"/>
      <c r="AL14" s="780"/>
      <c r="AM14" s="780"/>
      <c r="AN14" s="780"/>
      <c r="AO14" s="780"/>
      <c r="AP14" s="780"/>
      <c r="AQ14" s="780"/>
      <c r="AR14" s="780"/>
      <c r="AS14" s="780"/>
      <c r="AT14" s="780"/>
      <c r="AU14" s="780"/>
      <c r="AV14" s="780"/>
      <c r="AW14" s="780"/>
      <c r="AX14" s="780"/>
      <c r="AY14" s="780"/>
      <c r="AZ14" s="780"/>
      <c r="BA14" s="780"/>
      <c r="BB14" s="780"/>
      <c r="BC14" s="780"/>
      <c r="BD14" s="780"/>
      <c r="BE14" s="780"/>
      <c r="BF14" s="780"/>
      <c r="BG14" s="780"/>
      <c r="BH14" s="780"/>
      <c r="BI14" s="780"/>
      <c r="BJ14" s="780"/>
      <c r="BK14" s="780"/>
      <c r="BL14" s="780"/>
      <c r="BM14" s="780"/>
      <c r="BN14" s="780"/>
      <c r="BO14" s="780"/>
      <c r="BP14" s="780"/>
      <c r="BQ14" s="780"/>
      <c r="BR14" s="780"/>
      <c r="BS14" s="783"/>
      <c r="BT14" s="783"/>
      <c r="BU14" s="783"/>
      <c r="BV14" s="783"/>
      <c r="BW14" s="783"/>
      <c r="BX14" s="783"/>
      <c r="BY14" s="783"/>
      <c r="BZ14" s="783"/>
      <c r="CA14" s="783"/>
      <c r="CB14" s="783"/>
    </row>
    <row s="31510" customFormat="1" customHeight="1" ht="15">
      <c r="A15" s="2502"/>
      <c r="B15" s="1523"/>
      <c r="C15" s="773"/>
      <c r="D15" s="1162"/>
      <c r="E15" s="782"/>
      <c r="F15" s="539"/>
      <c r="G15" s="776" t="s">
        <v>101</v>
      </c>
      <c r="H15" s="548"/>
      <c r="I15" s="785"/>
      <c r="J15" s="2002"/>
      <c r="K15" s="2002"/>
      <c r="L15" s="2002"/>
      <c r="M15" s="2002"/>
      <c r="N15" s="1990"/>
      <c r="O15" s="2002"/>
      <c r="P15" s="1523"/>
      <c r="Q15" s="1523"/>
      <c r="R15" s="781"/>
      <c r="S15" s="1523"/>
      <c r="T15" s="1523"/>
      <c r="U15" s="1523"/>
      <c r="V15" s="783"/>
      <c r="W15" s="783"/>
      <c r="X15" s="780"/>
      <c r="Y15" s="780"/>
      <c r="Z15" s="780"/>
      <c r="AA15" s="780"/>
      <c r="AB15" s="780"/>
      <c r="AC15" s="780"/>
      <c r="AD15" s="780"/>
      <c r="AE15" s="780"/>
      <c r="AF15" s="780"/>
      <c r="AG15" s="780"/>
      <c r="AH15" s="780"/>
      <c r="AI15" s="780"/>
      <c r="AJ15" s="780"/>
      <c r="AK15" s="780"/>
      <c r="AL15" s="780"/>
      <c r="AM15" s="780"/>
      <c r="AN15" s="780"/>
      <c r="AO15" s="780"/>
      <c r="AP15" s="780"/>
      <c r="AQ15" s="780"/>
      <c r="AR15" s="780"/>
      <c r="AS15" s="780"/>
      <c r="AT15" s="780"/>
      <c r="AU15" s="780"/>
      <c r="AV15" s="780"/>
      <c r="AW15" s="780"/>
      <c r="AX15" s="780"/>
      <c r="AY15" s="780"/>
      <c r="AZ15" s="780"/>
      <c r="BA15" s="780"/>
      <c r="BB15" s="780"/>
      <c r="BC15" s="780"/>
      <c r="BD15" s="780"/>
      <c r="BE15" s="780"/>
      <c r="BF15" s="780"/>
      <c r="BG15" s="780"/>
      <c r="BH15" s="780"/>
      <c r="BI15" s="780"/>
      <c r="BJ15" s="780"/>
      <c r="BK15" s="780"/>
      <c r="BL15" s="780"/>
      <c r="BM15" s="780"/>
      <c r="BN15" s="780"/>
      <c r="BO15" s="780"/>
      <c r="BP15" s="780"/>
      <c r="BQ15" s="780"/>
      <c r="BR15" s="780"/>
      <c r="BS15" s="783"/>
      <c r="BT15" s="783"/>
      <c r="BU15" s="783"/>
      <c r="BV15" s="783"/>
      <c r="BW15" s="783"/>
      <c r="BX15" s="783"/>
      <c r="BY15" s="783"/>
      <c r="BZ15" s="783"/>
      <c r="CA15" s="783"/>
      <c r="CB15" s="783"/>
    </row>
    <row r="17" s="37744" customFormat="1" customHeight="1" ht="17.25">
      <c r="A17" s="2181" t="s">
        <v>1875</v>
      </c>
    </row>
    <row r="19" s="37648" customFormat="1" customHeight="1" ht="15">
      <c r="A19" s="2249"/>
      <c r="B19" s="1732">
        <v>1</v>
      </c>
      <c r="C19" s="1732"/>
      <c r="D19" s="1161" t="s">
        <v>103</v>
      </c>
      <c r="E19" s="2245"/>
      <c r="F19" s="2250">
        <f>$F$20</f>
        <v>0</v>
      </c>
      <c r="G19" s="2254"/>
      <c r="H19" s="2254"/>
      <c r="I19" s="2252"/>
      <c r="J19" s="1990"/>
      <c r="K19" s="2002"/>
      <c r="L19" s="2002"/>
      <c r="M19" s="1990" t="str">
        <f t="array" ref="M19:M19">IF(ISERROR(MATCH(MID(N19,1,250),MID(note_ter,1,250),0)),"n","y")</f>
        <v>n</v>
      </c>
      <c r="N19" s="2002"/>
      <c r="O19" s="1990" t="str">
        <f>H19&amp;"("&amp;I19&amp;")"</f>
        <v>()</v>
      </c>
      <c r="P19" s="1732"/>
      <c r="Q19" s="1732"/>
      <c r="R19" s="781"/>
      <c r="S19" s="1732"/>
      <c r="T19" s="1732"/>
      <c r="U19" s="1732"/>
      <c r="V19" s="1194"/>
      <c r="W19" s="1194"/>
      <c r="X19" s="988"/>
      <c r="Y19" s="988"/>
      <c r="Z19" s="988"/>
      <c r="AA19" s="988"/>
      <c r="AB19" s="988"/>
      <c r="AC19" s="988"/>
      <c r="AD19" s="988"/>
      <c r="AE19" s="988"/>
      <c r="AF19" s="988"/>
      <c r="AG19" s="988"/>
      <c r="AH19" s="988"/>
      <c r="AI19" s="988"/>
      <c r="AJ19" s="988"/>
      <c r="AK19" s="988"/>
      <c r="AL19" s="988"/>
      <c r="AM19" s="988"/>
      <c r="AN19" s="988"/>
      <c r="AO19" s="988"/>
      <c r="AP19" s="988"/>
      <c r="AQ19" s="988"/>
      <c r="AR19" s="988"/>
      <c r="AS19" s="988"/>
      <c r="AT19" s="988"/>
      <c r="AU19" s="988"/>
      <c r="AV19" s="988"/>
      <c r="AW19" s="988"/>
      <c r="AX19" s="988"/>
      <c r="AY19" s="988"/>
      <c r="AZ19" s="988"/>
      <c r="BA19" s="988"/>
      <c r="BB19" s="988"/>
      <c r="BC19" s="988"/>
      <c r="BD19" s="988"/>
      <c r="BE19" s="988"/>
      <c r="BF19" s="988"/>
      <c r="BG19" s="988"/>
      <c r="BH19" s="988"/>
      <c r="BI19" s="988"/>
      <c r="BJ19" s="988"/>
      <c r="BK19" s="988"/>
      <c r="BL19" s="988"/>
      <c r="BM19" s="988"/>
      <c r="BN19" s="988"/>
      <c r="BO19" s="988"/>
      <c r="BP19" s="988"/>
      <c r="BQ19" s="988"/>
      <c r="BR19" s="988"/>
      <c r="BS19" s="1194"/>
      <c r="BT19" s="1194"/>
      <c r="BU19" s="1194"/>
      <c r="BV19" s="1194"/>
      <c r="BW19" s="1194"/>
      <c r="BX19" s="1194"/>
      <c r="BY19" s="1194"/>
      <c r="BZ19" s="1194"/>
      <c r="CA19" s="1194"/>
      <c r="CB19" s="1194"/>
    </row>
    <row r="21" s="31510" customFormat="1" customHeight="1" ht="15">
      <c r="A21" s="2181" t="s">
        <v>1876</v>
      </c>
      <c r="B21" s="2181"/>
      <c r="C21" s="2181"/>
      <c r="D21" s="2181"/>
      <c r="E21" s="2181"/>
      <c r="F21" s="2181"/>
      <c r="G21" s="2181"/>
      <c r="H21" s="2181"/>
      <c r="I21" s="2181"/>
      <c r="J21" s="2181"/>
      <c r="K21" s="2181"/>
      <c r="L21" s="2181"/>
      <c r="M21" s="2181"/>
      <c r="N21" s="2181"/>
      <c r="O21" s="2181"/>
      <c r="P21" s="2181"/>
      <c r="Q21" s="2181"/>
      <c r="R21" s="2181"/>
      <c r="S21" s="2181"/>
      <c r="T21" s="2181"/>
      <c r="U21" s="545"/>
      <c r="V21" s="2181"/>
      <c r="W21" s="2181"/>
    </row>
    <row s="31510" customFormat="1" customHeight="1" ht="15">
      <c r="U22" s="546"/>
    </row>
    <row s="37756" customFormat="1" customHeight="1" ht="15">
      <c r="A23" s="784"/>
      <c r="B23" s="784"/>
      <c r="C23" s="2094" t="s">
        <v>103</v>
      </c>
      <c r="D23" s="2403" t="s">
        <v>118</v>
      </c>
      <c r="E23" s="2404"/>
      <c r="F23" s="2402" t="s">
        <v>56</v>
      </c>
      <c r="G23" s="2815"/>
      <c r="H23" s="2392">
        <v>1</v>
      </c>
      <c r="I23" s="2817" t="str">
        <f>IF(U23="","",INDEX(TERRITORY_MR_LIST,MATCH(U23,TERRITORY_LIST_ID,0)))</f>
        <v/>
      </c>
      <c r="J23" s="2402" t="s">
        <v>56</v>
      </c>
      <c r="K23" s="1193"/>
      <c r="L23" s="2148" t="s">
        <v>118</v>
      </c>
      <c r="M23" s="964"/>
      <c r="N23" s="965"/>
      <c r="O23" s="965"/>
      <c r="P23" s="965"/>
      <c r="Q23" s="965"/>
      <c r="R23" s="965"/>
      <c r="S23" s="965"/>
      <c r="T23" s="965"/>
      <c r="U23" s="966"/>
      <c r="V23" s="965"/>
      <c r="W23" s="965"/>
      <c r="X23" s="956"/>
      <c r="Y23" s="956" t="s">
        <v>126</v>
      </c>
      <c r="Z23" s="956">
        <v>1705000</v>
      </c>
      <c r="AA23" s="956"/>
      <c r="AB23" s="956"/>
      <c r="AC23" s="956"/>
      <c r="AD23" s="956"/>
      <c r="AE23" s="956"/>
      <c r="AF23" s="956"/>
      <c r="AG23" s="956"/>
      <c r="AH23" s="956"/>
      <c r="AI23" s="956"/>
      <c r="AJ23" s="956"/>
      <c r="AK23" s="956"/>
      <c r="AL23" s="956"/>
    </row>
    <row s="37756" customFormat="1" customHeight="1" ht="15">
      <c r="A24" s="784"/>
      <c r="B24" s="784"/>
      <c r="C24" s="538"/>
      <c r="D24" s="2403"/>
      <c r="E24" s="2405"/>
      <c r="F24" s="2402"/>
      <c r="G24" s="2816"/>
      <c r="H24" s="2392"/>
      <c r="I24" s="2818"/>
      <c r="J24" s="2402"/>
      <c r="K24" s="782"/>
      <c r="L24" s="539"/>
      <c r="M24" s="968" t="s">
        <v>127</v>
      </c>
      <c r="N24" s="965"/>
      <c r="O24" s="965"/>
      <c r="P24" s="965"/>
      <c r="Q24" s="965"/>
      <c r="R24" s="965"/>
      <c r="S24" s="965"/>
      <c r="T24" s="965"/>
      <c r="U24" s="966"/>
      <c r="V24" s="965"/>
      <c r="W24" s="965"/>
      <c r="X24" s="956"/>
      <c r="Y24" s="956"/>
      <c r="Z24" s="956"/>
      <c r="AA24" s="956"/>
      <c r="AB24" s="956"/>
      <c r="AC24" s="956"/>
      <c r="AD24" s="956"/>
      <c r="AE24" s="956"/>
      <c r="AF24" s="956"/>
      <c r="AG24" s="956"/>
      <c r="AH24" s="956"/>
      <c r="AI24" s="956"/>
      <c r="AJ24" s="956"/>
      <c r="AK24" s="956"/>
      <c r="AL24" s="956"/>
    </row>
    <row s="37756" customFormat="1" customHeight="1" ht="15">
      <c r="A25" s="784"/>
      <c r="B25" s="784"/>
      <c r="C25" s="538"/>
      <c r="D25" s="2403"/>
      <c r="E25" s="2406"/>
      <c r="F25" s="2402"/>
      <c r="G25" s="782"/>
      <c r="H25" s="539"/>
      <c r="I25" s="941" t="s">
        <v>128</v>
      </c>
      <c r="J25" s="539"/>
      <c r="K25" s="539"/>
      <c r="L25" s="539"/>
      <c r="M25" s="969"/>
      <c r="N25" s="965"/>
      <c r="O25" s="965"/>
      <c r="P25" s="965"/>
      <c r="Q25" s="965"/>
      <c r="R25" s="965"/>
      <c r="S25" s="965"/>
      <c r="T25" s="965"/>
      <c r="U25" s="966"/>
      <c r="V25" s="965"/>
      <c r="W25" s="965"/>
      <c r="X25" s="956"/>
      <c r="Y25" s="956"/>
      <c r="Z25" s="956"/>
      <c r="AA25" s="956"/>
      <c r="AB25" s="956"/>
      <c r="AC25" s="956"/>
      <c r="AD25" s="956"/>
      <c r="AE25" s="956"/>
      <c r="AF25" s="956"/>
      <c r="AG25" s="956"/>
      <c r="AH25" s="956"/>
      <c r="AI25" s="956"/>
      <c r="AJ25" s="956"/>
      <c r="AK25" s="956"/>
      <c r="AL25" s="956"/>
    </row>
    <row s="31510" customFormat="1" customHeight="1" ht="15">
      <c r="U26" s="546"/>
    </row>
    <row s="31510" customFormat="1" customHeight="1" ht="15">
      <c r="A27" s="2181" t="s">
        <v>1877</v>
      </c>
      <c r="B27" s="2181"/>
      <c r="C27" s="2181"/>
      <c r="D27" s="2181"/>
      <c r="E27" s="2181"/>
      <c r="F27" s="2181"/>
      <c r="G27" s="2181"/>
      <c r="H27" s="2181"/>
      <c r="I27" s="2181"/>
      <c r="J27" s="2181"/>
      <c r="K27" s="2181"/>
      <c r="L27" s="2181"/>
      <c r="M27" s="2181"/>
      <c r="N27" s="2181"/>
      <c r="O27" s="2181"/>
      <c r="P27" s="2181"/>
      <c r="Q27" s="2181"/>
      <c r="R27" s="2181"/>
      <c r="S27" s="2181"/>
      <c r="T27" s="2181"/>
      <c r="U27" s="545"/>
      <c r="V27" s="2181"/>
      <c r="W27" s="2181"/>
    </row>
    <row s="31510" customFormat="1" customHeight="1" ht="15">
      <c r="U28" s="546"/>
    </row>
    <row s="37756" customFormat="1" customHeight="1" ht="15">
      <c r="A29" s="784"/>
      <c r="B29" s="784"/>
      <c r="C29" s="538"/>
      <c r="D29" s="2187"/>
      <c r="E29" s="2187"/>
      <c r="F29" s="2187"/>
      <c r="G29" s="2819" t="s">
        <v>103</v>
      </c>
      <c r="H29" s="2378">
        <v>1</v>
      </c>
      <c r="I29" s="2820" t="str">
        <f>IF(U29="","",INDEX(TERRITORY_MR_LIST,MATCH(U29,TERRITORY_LIST_ID,0)))</f>
        <v/>
      </c>
      <c r="J29" s="2402" t="s">
        <v>56</v>
      </c>
      <c r="K29" s="1193"/>
      <c r="L29" s="2148" t="s">
        <v>118</v>
      </c>
      <c r="M29" s="964"/>
      <c r="N29" s="965"/>
      <c r="O29" s="965"/>
      <c r="P29" s="965"/>
      <c r="Q29" s="965"/>
      <c r="R29" s="965"/>
      <c r="S29" s="965"/>
      <c r="T29" s="965"/>
      <c r="U29" s="966"/>
      <c r="V29" s="965"/>
      <c r="W29" s="965"/>
      <c r="X29" s="956"/>
      <c r="Y29" s="956" t="s">
        <v>126</v>
      </c>
      <c r="Z29" s="956">
        <v>1705000</v>
      </c>
      <c r="AA29" s="956"/>
      <c r="AB29" s="956"/>
      <c r="AC29" s="956"/>
      <c r="AD29" s="956"/>
      <c r="AE29" s="956"/>
      <c r="AF29" s="956"/>
      <c r="AG29" s="956"/>
      <c r="AH29" s="956"/>
      <c r="AI29" s="956"/>
      <c r="AJ29" s="956"/>
      <c r="AK29" s="956"/>
      <c r="AL29" s="956"/>
    </row>
    <row s="37756" customFormat="1" customHeight="1" ht="15">
      <c r="A30" s="784"/>
      <c r="B30" s="784"/>
      <c r="C30" s="538"/>
      <c r="D30" s="2187"/>
      <c r="E30" s="2187"/>
      <c r="F30" s="2187"/>
      <c r="G30" s="2819"/>
      <c r="H30" s="2378"/>
      <c r="I30" s="2820"/>
      <c r="J30" s="2402"/>
      <c r="K30" s="782"/>
      <c r="L30" s="539"/>
      <c r="M30" s="968" t="s">
        <v>127</v>
      </c>
      <c r="N30" s="965"/>
      <c r="O30" s="965"/>
      <c r="P30" s="965"/>
      <c r="Q30" s="965"/>
      <c r="R30" s="965"/>
      <c r="S30" s="965"/>
      <c r="T30" s="965"/>
      <c r="U30" s="966"/>
      <c r="V30" s="965"/>
      <c r="W30" s="965"/>
      <c r="X30" s="956"/>
      <c r="Y30" s="956"/>
      <c r="Z30" s="956"/>
      <c r="AA30" s="956"/>
      <c r="AB30" s="956"/>
      <c r="AC30" s="956"/>
      <c r="AD30" s="956"/>
      <c r="AE30" s="956"/>
      <c r="AF30" s="956"/>
      <c r="AG30" s="956"/>
      <c r="AH30" s="956"/>
      <c r="AI30" s="956"/>
      <c r="AJ30" s="956"/>
      <c r="AK30" s="956"/>
      <c r="AL30" s="956"/>
    </row>
    <row s="31510" customFormat="1" customHeight="1" ht="15">
      <c r="U31" s="546"/>
    </row>
    <row s="31510" customFormat="1" customHeight="1" ht="15">
      <c r="A32" s="2181" t="s">
        <v>1878</v>
      </c>
      <c r="B32" s="2181"/>
      <c r="C32" s="2181"/>
      <c r="D32" s="2181"/>
      <c r="E32" s="2181"/>
      <c r="F32" s="2181"/>
      <c r="G32" s="2181"/>
      <c r="H32" s="2181"/>
      <c r="I32" s="2181"/>
      <c r="J32" s="2181"/>
      <c r="K32" s="2181"/>
      <c r="L32" s="2181"/>
      <c r="M32" s="2181"/>
      <c r="N32" s="2181"/>
      <c r="O32" s="2181"/>
      <c r="P32" s="2181"/>
      <c r="Q32" s="2181"/>
      <c r="R32" s="2181"/>
      <c r="S32" s="2181"/>
      <c r="T32" s="2181"/>
      <c r="U32" s="545"/>
      <c r="V32" s="2181"/>
      <c r="W32" s="2181"/>
    </row>
    <row s="31510" customFormat="1" customHeight="1" ht="15">
      <c r="U33" s="546"/>
    </row>
    <row s="37756" customFormat="1" customHeight="1" ht="15">
      <c r="A34" s="784"/>
      <c r="B34" s="784"/>
      <c r="C34" s="538"/>
      <c r="D34" s="2187"/>
      <c r="E34" s="2187"/>
      <c r="F34" s="2187"/>
      <c r="G34" s="2187"/>
      <c r="H34" s="2187"/>
      <c r="I34" s="2187"/>
      <c r="J34" s="2187"/>
      <c r="K34" s="2165" t="s">
        <v>103</v>
      </c>
      <c r="L34" s="2095" t="s">
        <v>118</v>
      </c>
      <c r="M34" s="1172"/>
      <c r="N34" s="1173"/>
      <c r="O34" s="965"/>
      <c r="P34" s="965"/>
      <c r="Q34" s="965"/>
      <c r="R34" s="965"/>
      <c r="S34" s="965"/>
      <c r="T34" s="965"/>
      <c r="U34" s="966"/>
      <c r="V34" s="965"/>
      <c r="W34" s="965"/>
      <c r="X34" s="956"/>
      <c r="Y34" s="956" t="s">
        <v>126</v>
      </c>
      <c r="Z34" s="956">
        <v>1705000</v>
      </c>
      <c r="AA34" s="956"/>
      <c r="AB34" s="956"/>
      <c r="AC34" s="956"/>
      <c r="AD34" s="956"/>
      <c r="AE34" s="956"/>
      <c r="AF34" s="956"/>
      <c r="AG34" s="956"/>
      <c r="AH34" s="956"/>
      <c r="AI34" s="956"/>
      <c r="AJ34" s="956"/>
      <c r="AK34" s="956"/>
      <c r="AL34" s="956"/>
    </row>
    <row s="31510" customFormat="1" customHeight="1" ht="15">
      <c r="U35" s="546"/>
    </row>
    <row s="31510" customFormat="1" customHeight="1" ht="15">
      <c r="U36" s="546"/>
    </row>
    <row s="37744" customFormat="1" customHeight="1" ht="11.25">
      <c r="A37" s="2181" t="s">
        <v>1879</v>
      </c>
    </row>
    <row customHeight="1" ht="11.25"/>
    <row s="32006" customFormat="1" customHeight="1" ht="22.5">
      <c r="A39" s="2157"/>
      <c r="B39" s="818"/>
      <c r="C39" s="1220"/>
      <c r="D39" s="801"/>
      <c r="E39" s="1221"/>
      <c r="F39" s="2178"/>
      <c r="G39" s="2188"/>
      <c r="H39" s="836"/>
    </row>
    <row customHeight="1" ht="11.25"/>
    <row s="37744" customFormat="1" customHeight="1" ht="11.25">
      <c r="A41" s="2181" t="s">
        <v>1880</v>
      </c>
    </row>
    <row customHeight="1" ht="11.25"/>
    <row s="32006" customFormat="1" customHeight="1" ht="22.5">
      <c r="A43" s="818"/>
      <c r="B43" s="818"/>
      <c r="C43" s="818"/>
      <c r="D43" s="801"/>
      <c r="E43" s="1221"/>
      <c r="F43" s="1222"/>
      <c r="G43" s="2188"/>
      <c r="H43" s="836"/>
    </row>
    <row customHeight="1" ht="11.25"/>
    <row s="37744" customFormat="1" customHeight="1" ht="11.25">
      <c r="A45" s="2181" t="s">
        <v>1881</v>
      </c>
    </row>
    <row customHeight="1" ht="11.25"/>
    <row s="32006" customFormat="1" customHeight="1" ht="24">
      <c r="A47" s="2475" t="s">
        <v>354</v>
      </c>
      <c r="B47" s="863"/>
      <c r="C47" s="2486"/>
      <c r="D47" s="806" t="str">
        <f>A47</f>
        <v>5.1</v>
      </c>
      <c r="E47" s="803" t="s">
        <v>355</v>
      </c>
      <c r="F47" s="2344" t="s">
        <v>347</v>
      </c>
      <c r="G47" s="805" t="s">
        <v>356</v>
      </c>
      <c r="H47" s="836"/>
      <c r="I47" s="1213"/>
    </row>
    <row s="32006" customFormat="1" customHeight="1" ht="22.5">
      <c r="A48" s="2475"/>
      <c r="B48" s="863"/>
      <c r="C48" s="2486"/>
      <c r="D48" s="801" t="str">
        <f>D47&amp;".1"</f>
        <v>5.1.1</v>
      </c>
      <c r="E48" s="800" t="s">
        <v>357</v>
      </c>
      <c r="F48" s="2345" t="s">
        <v>24</v>
      </c>
      <c r="G48" s="835"/>
      <c r="H48" s="836"/>
      <c r="I48" s="1213"/>
    </row>
    <row s="32006" customFormat="1" customHeight="1" ht="22.5">
      <c r="A49" s="2475"/>
      <c r="B49" s="863"/>
      <c r="C49" s="2486"/>
      <c r="D49" s="801" t="str">
        <f>D47&amp;".2"</f>
        <v>5.1.2</v>
      </c>
      <c r="E49" s="800" t="s">
        <v>358</v>
      </c>
      <c r="F49" s="2098" t="s">
        <v>24</v>
      </c>
      <c r="G49" s="805" t="s">
        <v>359</v>
      </c>
      <c r="H49" s="836"/>
      <c r="I49" s="1213"/>
    </row>
    <row s="32006" customFormat="1" customHeight="1" ht="22.5">
      <c r="A50" s="2475"/>
      <c r="B50" s="863"/>
      <c r="C50" s="2486"/>
      <c r="D50" s="801" t="str">
        <f>D47&amp;".3"</f>
        <v>5.1.3</v>
      </c>
      <c r="E50" s="800" t="s">
        <v>360</v>
      </c>
      <c r="F50" s="2345" t="s">
        <v>24</v>
      </c>
      <c r="G50" s="835"/>
      <c r="H50" s="836"/>
      <c r="I50" s="1213"/>
    </row>
    <row s="32006" customFormat="1" customHeight="1" ht="22.5">
      <c r="A51" s="2475"/>
      <c r="B51" s="863"/>
      <c r="C51" s="2486"/>
      <c r="D51" s="801" t="str">
        <f>D47&amp;".4"</f>
        <v>5.1.4</v>
      </c>
      <c r="E51" s="800" t="s">
        <v>361</v>
      </c>
      <c r="F51" s="2345" t="s">
        <v>24</v>
      </c>
      <c r="G51" s="805" t="s">
        <v>362</v>
      </c>
      <c r="H51" s="836"/>
      <c r="I51" s="1213"/>
    </row>
    <row r="54" s="37744" customFormat="1" customHeight="1" ht="17.25">
      <c r="A54" s="2181" t="s">
        <v>1882</v>
      </c>
    </row>
    <row r="56" s="32092" customFormat="1" customHeight="1" ht="18.75">
      <c r="A56" s="450"/>
      <c r="B56" s="2189"/>
      <c r="C56" s="2189"/>
      <c r="D56" s="2190"/>
      <c r="E56" s="2175"/>
      <c r="F56" s="1229">
        <v>13</v>
      </c>
      <c r="G56" s="1228"/>
      <c r="H56" s="1154"/>
      <c r="I56" s="1152"/>
      <c r="J56" s="881" t="s">
        <v>66</v>
      </c>
      <c r="K56" s="2191" t="s">
        <v>24</v>
      </c>
      <c r="L56" s="450"/>
      <c r="M56" s="2002"/>
      <c r="N56" s="2002"/>
      <c r="O56" s="2002"/>
      <c r="P56" s="877" t="s">
        <v>433</v>
      </c>
      <c r="Q56" s="877" t="s">
        <v>434</v>
      </c>
      <c r="R56" s="878" t="s">
        <v>435</v>
      </c>
      <c r="S56" s="2002" t="s">
        <v>436</v>
      </c>
      <c r="T56" s="2002"/>
      <c r="U56" s="2002"/>
      <c r="V56" s="2002"/>
    </row>
    <row r="58" s="37744" customFormat="1" customHeight="1" ht="11.25">
      <c r="A58" s="2181" t="s">
        <v>1883</v>
      </c>
    </row>
    <row r="60" s="32343" customFormat="1" customHeight="1" ht="14.25">
      <c r="C60" s="2054"/>
      <c r="D60" s="2236"/>
      <c r="E60" s="2143" t="s">
        <v>24</v>
      </c>
      <c r="F60" s="2235"/>
      <c r="G60" s="1217"/>
      <c r="H60" s="2144"/>
      <c r="I60" s="2144"/>
      <c r="J60" s="794"/>
      <c r="K60" s="2230"/>
      <c r="L60" s="793"/>
      <c r="M60" s="2230"/>
      <c r="N60" s="794"/>
      <c r="O60" s="2230"/>
      <c r="P60" s="794"/>
      <c r="Q60" s="2230"/>
      <c r="R60" s="794"/>
      <c r="S60" s="1215"/>
      <c r="T60" s="2144"/>
      <c r="U60" s="794"/>
      <c r="V60" s="794"/>
      <c r="W60" s="2234"/>
      <c r="X60" s="2144"/>
      <c r="Y60" s="794"/>
      <c r="Z60" s="794"/>
      <c r="AA60" s="2234"/>
      <c r="AB60" s="2144"/>
      <c r="AC60" s="794"/>
      <c r="AD60" s="2234"/>
      <c r="AE60" s="450"/>
      <c r="AF60" s="450"/>
      <c r="AG60" s="450"/>
      <c r="AH60" s="450"/>
      <c r="AJ60" s="2002"/>
      <c r="AK60" s="2002"/>
      <c r="AL60" s="2002"/>
      <c r="AM60" s="2002"/>
      <c r="AN60" s="2002"/>
      <c r="AO60" s="2002"/>
      <c r="AP60" s="1990" t="s">
        <v>422</v>
      </c>
      <c r="AQ60" s="1990" t="s">
        <v>422</v>
      </c>
      <c r="AR60" s="2002"/>
      <c r="AS60" s="2002"/>
    </row>
    <row r="62" s="37744" customFormat="1" customHeight="1" ht="11.25">
      <c r="A62" s="2181" t="s">
        <v>1884</v>
      </c>
    </row>
    <row r="64" s="37787" customFormat="1" customHeight="1" ht="15">
      <c r="A64" s="507" t="s">
        <v>89</v>
      </c>
      <c r="B64" s="487" t="s">
        <v>24</v>
      </c>
      <c r="C64" s="2192"/>
      <c r="D64" s="490"/>
      <c r="E64" s="742"/>
      <c r="F64" s="742"/>
      <c r="G64" s="2169"/>
      <c r="H64" s="2191"/>
      <c r="I64" s="2170"/>
      <c r="K64" s="633"/>
      <c r="L64" s="634"/>
    </row>
    <row r="66" s="37744" customFormat="1" customHeight="1" ht="11.25">
      <c r="A66" s="2181" t="s">
        <v>1885</v>
      </c>
    </row>
    <row r="68" s="32343" customFormat="1" customHeight="1" ht="14.25">
      <c r="A68" s="704"/>
      <c r="B68" s="1523"/>
      <c r="C68" s="737"/>
      <c r="D68" s="2176"/>
      <c r="E68" s="1247"/>
      <c r="F68" s="2191"/>
      <c r="G68" s="450"/>
      <c r="I68" s="1990"/>
      <c r="J68" s="1990"/>
    </row>
    <row r="70" s="37744" customFormat="1" customHeight="1" ht="11.25">
      <c r="A70" s="2181" t="s">
        <v>1886</v>
      </c>
    </row>
    <row r="72" s="32343" customFormat="1" customHeight="1" ht="27">
      <c r="A72" s="1529"/>
      <c r="B72" s="1529"/>
      <c r="C72" s="1529"/>
      <c r="D72" s="1523"/>
      <c r="E72" s="2193"/>
      <c r="F72" s="2768"/>
      <c r="G72" s="2769"/>
      <c r="H72" s="2770" t="s">
        <v>66</v>
      </c>
      <c r="I72" s="2772"/>
      <c r="J72" s="2774"/>
      <c r="K72" s="2776"/>
      <c r="L72" s="2786"/>
      <c r="M72" s="2786"/>
      <c r="N72" s="2827"/>
      <c r="O72" s="2827"/>
      <c r="P72" s="2828">
        <f>DATEDIF(DATEVALUE(N72),DATEVALUE(O72),"y")&amp;"г. "&amp;DATEDIF(DATEVALUE(N72),DATEVALUE(O72),"ym")&amp;"мес. "&amp;DATEVALUE(O72)-DATE(YEAR(DATEVALUE(O72)),MONTH(DATEVALUE(O72)),1)&amp;"дн. "</f>
      </c>
      <c r="Q72" s="2788"/>
      <c r="R72" s="2788"/>
      <c r="S72" s="2788"/>
      <c r="T72" s="2774"/>
      <c r="U72" s="2788"/>
      <c r="V72" s="2788"/>
      <c r="W72" s="2788"/>
      <c r="X72" s="2774"/>
      <c r="Y72" s="2825" t="s">
        <v>66</v>
      </c>
      <c r="Z72" s="2174"/>
      <c r="AA72" s="2158">
        <v>1</v>
      </c>
      <c r="AB72" s="1607"/>
      <c r="AD72" s="2002" t="s">
        <v>1887</v>
      </c>
    </row>
    <row s="32343" customFormat="1" customHeight="1" ht="10.5">
      <c r="A73" s="1529"/>
      <c r="B73" s="1529"/>
      <c r="C73" s="1529"/>
      <c r="D73" s="1523"/>
      <c r="E73" s="1309"/>
      <c r="F73" s="2768"/>
      <c r="G73" s="2769"/>
      <c r="H73" s="2771"/>
      <c r="I73" s="2773"/>
      <c r="J73" s="2775"/>
      <c r="K73" s="2776"/>
      <c r="L73" s="2786"/>
      <c r="M73" s="2786"/>
      <c r="N73" s="2827"/>
      <c r="O73" s="2827"/>
      <c r="P73" s="2828"/>
      <c r="Q73" s="2788"/>
      <c r="R73" s="2788"/>
      <c r="S73" s="2788"/>
      <c r="T73" s="2775"/>
      <c r="U73" s="2788"/>
      <c r="V73" s="2788"/>
      <c r="W73" s="2788"/>
      <c r="X73" s="2775"/>
      <c r="Y73" s="2826"/>
      <c r="Z73" s="708"/>
      <c r="AA73" s="933"/>
      <c r="AB73" s="1013" t="s">
        <v>1888</v>
      </c>
    </row>
    <row r="75" s="37744" customFormat="1" customHeight="1" ht="11.25">
      <c r="A75" s="2181" t="s">
        <v>1889</v>
      </c>
    </row>
    <row r="77" s="32343" customFormat="1" customHeight="1" ht="27">
      <c r="A77" s="1529"/>
      <c r="B77" s="1529"/>
      <c r="C77" s="1529"/>
      <c r="D77" s="1523"/>
      <c r="E77" s="2193"/>
      <c r="F77" s="2163"/>
      <c r="G77" s="2113"/>
      <c r="H77" s="2114"/>
      <c r="I77" s="2115"/>
      <c r="J77" s="2116"/>
      <c r="K77" s="2117"/>
      <c r="L77" s="2118"/>
      <c r="M77" s="2118"/>
      <c r="N77" s="2119"/>
      <c r="O77" s="2119"/>
      <c r="P77" s="2120"/>
      <c r="Q77" s="2121"/>
      <c r="R77" s="2121"/>
      <c r="S77" s="2121"/>
      <c r="T77" s="2116"/>
      <c r="U77" s="2121"/>
      <c r="V77" s="2121"/>
      <c r="W77" s="2121"/>
      <c r="X77" s="2116"/>
      <c r="Y77" s="2114"/>
      <c r="Z77" s="2174"/>
      <c r="AA77" s="2158">
        <v>1</v>
      </c>
      <c r="AB77" s="1607"/>
      <c r="AD77" s="2002" t="s">
        <v>1887</v>
      </c>
    </row>
    <row r="79" s="37744" customFormat="1" customHeight="1" ht="11.25">
      <c r="A79" s="2181" t="s">
        <v>1890</v>
      </c>
    </row>
    <row customHeight="1" ht="17.25"/>
    <row s="32343" customFormat="1" customHeight="1" ht="21">
      <c r="A81" s="1530"/>
      <c r="B81" s="1529"/>
      <c r="C81" s="1529"/>
      <c r="D81" s="1523"/>
      <c r="E81" s="1533"/>
      <c r="F81" s="1485">
        <f>INDEX(IP_MAIN_LIST_NAME_IP,MATCH(A81,IP_MAIN_LIST_IP_ID,0))&amp;" ("&amp;INDEX(IP_MAIN_START_DATE,MATCH(A81,IP_MAIN_LIST_IP_ID,0))&amp;"-"&amp;INDEX(IP_MAIN_END_DATE,MATCH(A81,IP_MAIN_LIST_IP_ID,0))&amp;")"</f>
      </c>
      <c r="G81" s="1486"/>
      <c r="H81" s="1486"/>
      <c r="I81" s="1550"/>
      <c r="J81" s="1550"/>
      <c r="K81" s="1551"/>
      <c r="L81" s="1551"/>
      <c r="M81" s="1551"/>
      <c r="N81" s="1552"/>
      <c r="O81" s="1552"/>
      <c r="P81" s="1552"/>
      <c r="Q81" s="1552"/>
      <c r="R81" s="1552"/>
      <c r="S81" s="1552"/>
      <c r="T81" s="1552"/>
      <c r="U81" s="1552"/>
      <c r="V81" s="1552"/>
      <c r="W81" s="1552"/>
      <c r="X81" s="1552"/>
      <c r="Y81" s="1552"/>
      <c r="Z81" s="1552"/>
      <c r="AA81" s="1552"/>
      <c r="AB81" s="1552"/>
      <c r="AC81" s="1552"/>
      <c r="AD81" s="1552"/>
      <c r="AE81" s="1553"/>
      <c r="AF81" s="1551"/>
      <c r="AG81" s="1551"/>
      <c r="AH81" s="1551"/>
      <c r="AI81" s="1551"/>
      <c r="AJ81" s="1551"/>
      <c r="AK81" s="1551"/>
      <c r="AL81" s="1534"/>
      <c r="AM81" s="2189"/>
      <c r="AN81" s="2189"/>
      <c r="AO81" s="2189"/>
      <c r="AP81" s="2189"/>
      <c r="AQ81" s="2189"/>
      <c r="AR81" s="2189"/>
      <c r="AS81" s="2189"/>
      <c r="AT81" s="2189"/>
      <c r="AU81" s="2189"/>
      <c r="AV81" s="2189"/>
      <c r="AW81" s="2189"/>
      <c r="AX81" s="2189"/>
      <c r="AY81" s="2189"/>
      <c r="AZ81" s="2189"/>
      <c r="BA81" s="2189"/>
      <c r="BB81" s="2189"/>
      <c r="BC81" s="2189"/>
      <c r="BD81" s="2189"/>
      <c r="BE81" s="2189"/>
      <c r="BF81" s="2189"/>
    </row>
    <row s="32343" customFormat="1" customHeight="1" ht="11.25">
      <c r="A82" s="1529"/>
      <c r="B82" s="1529"/>
      <c r="C82" s="1529"/>
      <c r="D82" s="1523"/>
      <c r="E82" s="1533"/>
      <c r="F82" s="2831"/>
      <c r="G82" s="2787"/>
      <c r="H82" s="2787" t="s">
        <v>118</v>
      </c>
      <c r="I82" s="2834"/>
      <c r="J82" s="2760"/>
      <c r="K82" s="2835"/>
      <c r="L82" s="2829" t="s">
        <v>56</v>
      </c>
      <c r="M82" s="2403"/>
      <c r="N82" s="1542"/>
      <c r="O82" s="1541" t="s">
        <v>417</v>
      </c>
      <c r="P82" s="1542"/>
      <c r="Q82" s="1542"/>
      <c r="R82" s="1542"/>
      <c r="S82" s="1542"/>
      <c r="T82" s="1542"/>
      <c r="U82" s="1542"/>
      <c r="V82" s="1542"/>
      <c r="W82" s="1542"/>
      <c r="X82" s="1542"/>
      <c r="Y82" s="1542"/>
      <c r="Z82" s="1542"/>
      <c r="AA82" s="1542"/>
      <c r="AB82" s="1542"/>
      <c r="AC82" s="1542"/>
      <c r="AD82" s="1542"/>
      <c r="AE82" s="1542"/>
      <c r="AF82" s="2833"/>
      <c r="AG82" s="2829"/>
      <c r="AH82" s="2829"/>
      <c r="AI82" s="2833"/>
      <c r="AJ82" s="2829"/>
      <c r="AK82" s="2829"/>
      <c r="AL82" s="1536"/>
      <c r="AM82" s="2189"/>
      <c r="AN82" s="2189"/>
      <c r="AO82" s="2189"/>
      <c r="AP82" s="2189"/>
      <c r="AQ82" s="2189"/>
      <c r="AR82" s="2189"/>
      <c r="AS82" s="2189"/>
      <c r="AT82" s="2189"/>
      <c r="AU82" s="2189"/>
      <c r="AV82" s="2189"/>
      <c r="AW82" s="2189"/>
      <c r="AX82" s="2189"/>
      <c r="AY82" s="2189"/>
      <c r="AZ82" s="2189"/>
      <c r="BA82" s="2189"/>
      <c r="BB82" s="2189"/>
      <c r="BC82" s="2189"/>
      <c r="BD82" s="2189"/>
      <c r="BE82" s="2189"/>
      <c r="BF82" s="2189"/>
    </row>
    <row s="32343" customFormat="1" customHeight="1" ht="11.25">
      <c r="A83" s="1529"/>
      <c r="B83" s="1529"/>
      <c r="C83" s="1529"/>
      <c r="D83" s="1523"/>
      <c r="E83" s="1533"/>
      <c r="F83" s="2831"/>
      <c r="G83" s="2787"/>
      <c r="H83" s="2787"/>
      <c r="I83" s="2834"/>
      <c r="J83" s="2760"/>
      <c r="K83" s="2835"/>
      <c r="L83" s="2829"/>
      <c r="M83" s="2403"/>
      <c r="N83" s="2836"/>
      <c r="O83" s="2782">
        <v>1</v>
      </c>
      <c r="P83" s="2777" t="s">
        <v>56</v>
      </c>
      <c r="Q83" s="2780" t="s">
        <v>24</v>
      </c>
      <c r="R83" s="2780" t="s">
        <v>24</v>
      </c>
      <c r="S83" s="2780" t="s">
        <v>24</v>
      </c>
      <c r="T83" s="2780" t="s">
        <v>24</v>
      </c>
      <c r="U83" s="2780" t="s">
        <v>24</v>
      </c>
      <c r="V83" s="2780" t="s">
        <v>24</v>
      </c>
      <c r="W83" s="2780" t="s">
        <v>24</v>
      </c>
      <c r="X83" s="2780" t="s">
        <v>24</v>
      </c>
      <c r="Y83" s="2780"/>
      <c r="Z83" s="1539"/>
      <c r="AA83" s="1540"/>
      <c r="AB83" s="1540"/>
      <c r="AC83" s="1544"/>
      <c r="AD83" s="1544"/>
      <c r="AE83" s="1545"/>
      <c r="AF83" s="2833"/>
      <c r="AG83" s="2829"/>
      <c r="AH83" s="2829"/>
      <c r="AI83" s="2833"/>
      <c r="AJ83" s="2829"/>
      <c r="AK83" s="2829"/>
      <c r="AL83" s="1536"/>
      <c r="AM83" s="2189"/>
      <c r="AN83" s="2189"/>
      <c r="AO83" s="2189"/>
      <c r="AP83" s="2189"/>
      <c r="AQ83" s="2189"/>
      <c r="AR83" s="2189"/>
      <c r="AS83" s="2189"/>
      <c r="AT83" s="2189"/>
      <c r="AU83" s="2189"/>
      <c r="AV83" s="2189"/>
      <c r="AW83" s="2189"/>
      <c r="AX83" s="2189"/>
      <c r="AY83" s="2189"/>
      <c r="AZ83" s="2189"/>
      <c r="BA83" s="2189"/>
      <c r="BB83" s="2189"/>
      <c r="BC83" s="2189"/>
      <c r="BD83" s="2189"/>
      <c r="BE83" s="2189"/>
      <c r="BF83" s="2189"/>
    </row>
    <row s="32343" customFormat="1" customHeight="1" ht="11.25">
      <c r="A84" s="1529"/>
      <c r="B84" s="1529"/>
      <c r="C84" s="1529"/>
      <c r="D84" s="1523"/>
      <c r="E84" s="1533"/>
      <c r="F84" s="2831"/>
      <c r="G84" s="2787"/>
      <c r="H84" s="2787"/>
      <c r="I84" s="2834"/>
      <c r="J84" s="2760"/>
      <c r="K84" s="2835"/>
      <c r="L84" s="2829"/>
      <c r="M84" s="2403"/>
      <c r="N84" s="2836"/>
      <c r="O84" s="2782"/>
      <c r="P84" s="2778"/>
      <c r="Q84" s="2780"/>
      <c r="R84" s="2780"/>
      <c r="S84" s="2783"/>
      <c r="T84" s="2780"/>
      <c r="U84" s="2780"/>
      <c r="V84" s="2780"/>
      <c r="W84" s="2780"/>
      <c r="X84" s="2780"/>
      <c r="Y84" s="2780"/>
      <c r="Z84" s="2194"/>
      <c r="AA84" s="2160">
        <v>1</v>
      </c>
      <c r="AB84" s="1543"/>
      <c r="AC84" s="1532"/>
      <c r="AD84" s="1543">
        <f>AB84</f>
        <v>0</v>
      </c>
      <c r="AE84" s="1532"/>
      <c r="AF84" s="2833"/>
      <c r="AG84" s="2829"/>
      <c r="AH84" s="2829"/>
      <c r="AI84" s="2833"/>
      <c r="AJ84" s="2829"/>
      <c r="AK84" s="2829"/>
      <c r="AL84" s="1536"/>
      <c r="AM84" s="2189"/>
      <c r="AN84" s="2189"/>
      <c r="AO84" s="2189"/>
      <c r="AP84" s="2189"/>
      <c r="AQ84" s="2189"/>
      <c r="AR84" s="2189"/>
      <c r="AS84" s="2189"/>
      <c r="AT84" s="2189"/>
      <c r="AU84" s="2189"/>
      <c r="AV84" s="2189"/>
      <c r="AW84" s="2189"/>
      <c r="AX84" s="2189"/>
      <c r="AY84" s="2189"/>
      <c r="AZ84" s="2189"/>
      <c r="BA84" s="2189"/>
      <c r="BB84" s="2189"/>
      <c r="BC84" s="2189"/>
      <c r="BD84" s="2189"/>
      <c r="BE84" s="2189"/>
      <c r="BF84" s="2189"/>
    </row>
    <row s="32343" customFormat="1" customHeight="1" ht="11.25">
      <c r="A85" s="1529"/>
      <c r="B85" s="1529"/>
      <c r="C85" s="1529"/>
      <c r="D85" s="1523"/>
      <c r="E85" s="1533"/>
      <c r="F85" s="2831"/>
      <c r="G85" s="2787"/>
      <c r="H85" s="2787"/>
      <c r="I85" s="2834"/>
      <c r="J85" s="2760"/>
      <c r="K85" s="2835"/>
      <c r="L85" s="2829"/>
      <c r="M85" s="2403"/>
      <c r="N85" s="2836"/>
      <c r="O85" s="2782"/>
      <c r="P85" s="2779"/>
      <c r="Q85" s="2780"/>
      <c r="R85" s="2780"/>
      <c r="S85" s="2783"/>
      <c r="T85" s="2780"/>
      <c r="U85" s="2780"/>
      <c r="V85" s="2780"/>
      <c r="W85" s="2780"/>
      <c r="X85" s="2780"/>
      <c r="Y85" s="2780"/>
      <c r="Z85" s="1539"/>
      <c r="AA85" s="1540"/>
      <c r="AB85" s="1606" t="s">
        <v>1891</v>
      </c>
      <c r="AC85" s="1544"/>
      <c r="AD85" s="1544"/>
      <c r="AE85" s="1546"/>
      <c r="AF85" s="2833"/>
      <c r="AG85" s="2829"/>
      <c r="AH85" s="2829"/>
      <c r="AI85" s="2833"/>
      <c r="AJ85" s="2829"/>
      <c r="AK85" s="2829"/>
      <c r="AL85" s="1536"/>
      <c r="AM85" s="2189"/>
      <c r="AN85" s="2189"/>
      <c r="AO85" s="2189"/>
      <c r="AP85" s="2189"/>
      <c r="AQ85" s="2189"/>
      <c r="AR85" s="2189"/>
      <c r="AS85" s="2189"/>
      <c r="AT85" s="2189"/>
      <c r="AU85" s="2189"/>
      <c r="AV85" s="2189"/>
      <c r="AW85" s="2189"/>
      <c r="AX85" s="2189"/>
      <c r="AY85" s="2189"/>
      <c r="AZ85" s="2189"/>
      <c r="BA85" s="2189"/>
      <c r="BB85" s="2189"/>
      <c r="BC85" s="2189"/>
      <c r="BD85" s="2189"/>
      <c r="BE85" s="2189"/>
      <c r="BF85" s="2189"/>
    </row>
    <row s="32343" customFormat="1" customHeight="1" ht="11.25">
      <c r="A86" s="1529"/>
      <c r="B86" s="1529"/>
      <c r="C86" s="1529"/>
      <c r="D86" s="1523"/>
      <c r="E86" s="1533"/>
      <c r="F86" s="2831"/>
      <c r="G86" s="2787"/>
      <c r="H86" s="2787"/>
      <c r="I86" s="2834"/>
      <c r="J86" s="2760"/>
      <c r="K86" s="2835"/>
      <c r="L86" s="2829"/>
      <c r="M86" s="2403"/>
      <c r="N86" s="1540"/>
      <c r="O86" s="1540"/>
      <c r="P86" s="1531" t="s">
        <v>1892</v>
      </c>
      <c r="Q86" s="1540"/>
      <c r="R86" s="1540"/>
      <c r="S86" s="1540"/>
      <c r="T86" s="1540"/>
      <c r="U86" s="1540"/>
      <c r="V86" s="1540"/>
      <c r="W86" s="1540"/>
      <c r="X86" s="1540"/>
      <c r="Y86" s="1540"/>
      <c r="Z86" s="1540"/>
      <c r="AA86" s="1540"/>
      <c r="AB86" s="1540"/>
      <c r="AC86" s="1540"/>
      <c r="AD86" s="1540"/>
      <c r="AE86" s="1547"/>
      <c r="AF86" s="2833"/>
      <c r="AG86" s="2829"/>
      <c r="AH86" s="2829"/>
      <c r="AI86" s="2833"/>
      <c r="AJ86" s="2829"/>
      <c r="AK86" s="2829"/>
      <c r="AL86" s="1536"/>
      <c r="AM86" s="2189"/>
      <c r="AN86" s="2189"/>
      <c r="AO86" s="2189"/>
      <c r="AP86" s="2189"/>
      <c r="AQ86" s="2189"/>
      <c r="AR86" s="2189"/>
      <c r="AS86" s="2189"/>
      <c r="AT86" s="2189"/>
      <c r="AU86" s="2189"/>
      <c r="AV86" s="2189"/>
      <c r="AW86" s="2189"/>
      <c r="AX86" s="2189"/>
      <c r="AY86" s="2189"/>
      <c r="AZ86" s="2189"/>
      <c r="BA86" s="2189"/>
      <c r="BB86" s="2189"/>
      <c r="BC86" s="2189"/>
      <c r="BD86" s="2189"/>
      <c r="BE86" s="2189"/>
      <c r="BF86" s="2189"/>
    </row>
    <row s="32343" customFormat="1" customHeight="1" ht="12">
      <c r="A87" s="1529"/>
      <c r="B87" s="1529"/>
      <c r="C87" s="1529"/>
      <c r="D87" s="1523"/>
      <c r="E87" s="1533"/>
      <c r="F87" s="2832"/>
      <c r="G87" s="1555"/>
      <c r="H87" s="1555"/>
      <c r="I87" s="2830" t="s">
        <v>1893</v>
      </c>
      <c r="J87" s="2830"/>
      <c r="K87" s="2830"/>
      <c r="L87" s="1537"/>
      <c r="M87" s="1537"/>
      <c r="N87" s="1538"/>
      <c r="O87" s="1538"/>
      <c r="P87" s="1538"/>
      <c r="Q87" s="1538"/>
      <c r="R87" s="1538"/>
      <c r="S87" s="1538"/>
      <c r="T87" s="1538"/>
      <c r="U87" s="1538"/>
      <c r="V87" s="1538"/>
      <c r="W87" s="1538"/>
      <c r="X87" s="1538"/>
      <c r="Y87" s="1538"/>
      <c r="Z87" s="1538"/>
      <c r="AA87" s="1538"/>
      <c r="AB87" s="1538"/>
      <c r="AC87" s="1538"/>
      <c r="AD87" s="1538"/>
      <c r="AE87" s="1538"/>
      <c r="AF87" s="1538"/>
      <c r="AG87" s="1537"/>
      <c r="AH87" s="1537"/>
      <c r="AI87" s="1538"/>
      <c r="AJ87" s="1537"/>
      <c r="AK87" s="1548"/>
      <c r="AL87" s="1536"/>
      <c r="AM87" s="2189"/>
      <c r="AN87" s="2189"/>
      <c r="AO87" s="2189"/>
      <c r="AP87" s="2189"/>
      <c r="AQ87" s="2189"/>
      <c r="AR87" s="2189"/>
      <c r="AS87" s="2189"/>
      <c r="AT87" s="2189"/>
      <c r="AU87" s="2189"/>
      <c r="AV87" s="2189"/>
      <c r="AW87" s="2189"/>
      <c r="AX87" s="2189"/>
      <c r="AY87" s="2189"/>
      <c r="AZ87" s="2189"/>
      <c r="BA87" s="2189"/>
      <c r="BB87" s="2189"/>
      <c r="BC87" s="2189"/>
      <c r="BD87" s="2189"/>
      <c r="BE87" s="2189"/>
      <c r="BF87" s="2189"/>
    </row>
    <row r="89" s="37744" customFormat="1" customHeight="1" ht="11.25">
      <c r="A89" s="2181" t="s">
        <v>1894</v>
      </c>
    </row>
    <row r="91" s="32343" customFormat="1" customHeight="1" ht="11.25">
      <c r="A91" s="1529"/>
      <c r="B91" s="1529"/>
      <c r="C91" s="1529"/>
      <c r="D91" s="1523"/>
      <c r="E91" s="1533"/>
      <c r="F91" s="2195"/>
      <c r="G91" s="2196"/>
      <c r="H91" s="2196"/>
      <c r="I91" s="2130"/>
      <c r="J91" s="2130"/>
      <c r="K91" s="2197"/>
      <c r="L91" s="2130"/>
      <c r="M91" s="2196"/>
      <c r="N91" s="2781"/>
      <c r="O91" s="2782">
        <v>1</v>
      </c>
      <c r="P91" s="2777" t="s">
        <v>56</v>
      </c>
      <c r="Q91" s="2780" t="s">
        <v>24</v>
      </c>
      <c r="R91" s="2780" t="s">
        <v>24</v>
      </c>
      <c r="S91" s="2780" t="s">
        <v>24</v>
      </c>
      <c r="T91" s="2780" t="s">
        <v>24</v>
      </c>
      <c r="U91" s="2780" t="s">
        <v>24</v>
      </c>
      <c r="V91" s="2780" t="s">
        <v>24</v>
      </c>
      <c r="W91" s="2780" t="s">
        <v>24</v>
      </c>
      <c r="X91" s="2780" t="s">
        <v>24</v>
      </c>
      <c r="Y91" s="2780"/>
      <c r="Z91" s="1539"/>
      <c r="AA91" s="1540"/>
      <c r="AB91" s="1540"/>
      <c r="AC91" s="1544"/>
      <c r="AD91" s="1544"/>
      <c r="AE91" s="1544"/>
      <c r="AF91" s="2198"/>
      <c r="AG91" s="2125"/>
      <c r="AH91" s="2125"/>
      <c r="AI91" s="2198"/>
      <c r="AJ91" s="2125"/>
      <c r="AK91" s="2125"/>
      <c r="AL91" s="1536"/>
      <c r="AM91" s="2189"/>
      <c r="AN91" s="2189"/>
      <c r="AO91" s="2189"/>
      <c r="AP91" s="2189"/>
      <c r="AQ91" s="2189"/>
      <c r="AR91" s="2189"/>
      <c r="AS91" s="2189"/>
      <c r="AT91" s="2189"/>
      <c r="AU91" s="2189"/>
      <c r="AV91" s="2189"/>
      <c r="AW91" s="2189"/>
      <c r="AX91" s="2189"/>
      <c r="AY91" s="2189"/>
      <c r="AZ91" s="2189"/>
      <c r="BA91" s="2189"/>
      <c r="BB91" s="2189"/>
      <c r="BC91" s="2189"/>
      <c r="BD91" s="2189"/>
      <c r="BE91" s="2189"/>
      <c r="BF91" s="2189"/>
    </row>
    <row s="32343" customFormat="1" customHeight="1" ht="11.25">
      <c r="A92" s="1529"/>
      <c r="B92" s="1529"/>
      <c r="C92" s="1529"/>
      <c r="D92" s="1523"/>
      <c r="E92" s="1533"/>
      <c r="F92" s="2195"/>
      <c r="G92" s="2196"/>
      <c r="H92" s="2196"/>
      <c r="I92" s="2131"/>
      <c r="J92" s="2131"/>
      <c r="K92" s="2197"/>
      <c r="L92" s="2131"/>
      <c r="M92" s="2196"/>
      <c r="N92" s="2781"/>
      <c r="O92" s="2782"/>
      <c r="P92" s="2778"/>
      <c r="Q92" s="2780"/>
      <c r="R92" s="2780"/>
      <c r="S92" s="2783"/>
      <c r="T92" s="2780"/>
      <c r="U92" s="2780"/>
      <c r="V92" s="2780"/>
      <c r="W92" s="2780"/>
      <c r="X92" s="2780"/>
      <c r="Y92" s="2780"/>
      <c r="Z92" s="2194"/>
      <c r="AA92" s="2160">
        <v>1</v>
      </c>
      <c r="AB92" s="1543"/>
      <c r="AC92" s="1532"/>
      <c r="AD92" s="1543">
        <f>AB92</f>
        <v>0</v>
      </c>
      <c r="AE92" s="1085"/>
      <c r="AF92" s="2197"/>
      <c r="AG92" s="2125"/>
      <c r="AH92" s="2125"/>
      <c r="AI92" s="2197"/>
      <c r="AJ92" s="2125"/>
      <c r="AK92" s="2125"/>
      <c r="AL92" s="1536"/>
      <c r="AM92" s="2189"/>
      <c r="AN92" s="2189"/>
      <c r="AO92" s="2189"/>
      <c r="AP92" s="2189"/>
      <c r="AQ92" s="2189"/>
      <c r="AR92" s="2189"/>
      <c r="AS92" s="2189"/>
      <c r="AT92" s="2189"/>
      <c r="AU92" s="2189"/>
      <c r="AV92" s="2189"/>
      <c r="AW92" s="2189"/>
      <c r="AX92" s="2189"/>
      <c r="AY92" s="2189"/>
      <c r="AZ92" s="2189"/>
      <c r="BA92" s="2189"/>
      <c r="BB92" s="2189"/>
      <c r="BC92" s="2189"/>
      <c r="BD92" s="2189"/>
      <c r="BE92" s="2189"/>
      <c r="BF92" s="2189"/>
    </row>
    <row s="32343" customFormat="1" customHeight="1" ht="11.25">
      <c r="A93" s="1529"/>
      <c r="B93" s="1529"/>
      <c r="C93" s="1529"/>
      <c r="D93" s="1523"/>
      <c r="E93" s="1533"/>
      <c r="F93" s="2195"/>
      <c r="G93" s="2196"/>
      <c r="H93" s="2196"/>
      <c r="I93" s="2132"/>
      <c r="J93" s="2132"/>
      <c r="K93" s="2197"/>
      <c r="L93" s="2132"/>
      <c r="M93" s="2196"/>
      <c r="N93" s="2781"/>
      <c r="O93" s="2782"/>
      <c r="P93" s="2779"/>
      <c r="Q93" s="2780"/>
      <c r="R93" s="2780"/>
      <c r="S93" s="2783"/>
      <c r="T93" s="2780"/>
      <c r="U93" s="2780"/>
      <c r="V93" s="2780"/>
      <c r="W93" s="2780"/>
      <c r="X93" s="2780"/>
      <c r="Y93" s="2780"/>
      <c r="Z93" s="1539"/>
      <c r="AA93" s="1540"/>
      <c r="AB93" s="1606" t="s">
        <v>1891</v>
      </c>
      <c r="AC93" s="1544"/>
      <c r="AD93" s="1544"/>
      <c r="AE93" s="1544"/>
      <c r="AF93" s="2199"/>
      <c r="AG93" s="2125"/>
      <c r="AH93" s="2125"/>
      <c r="AI93" s="2199"/>
      <c r="AJ93" s="2125"/>
      <c r="AK93" s="2125"/>
      <c r="AL93" s="1536"/>
      <c r="AM93" s="2189"/>
      <c r="AN93" s="2189"/>
      <c r="AO93" s="2189"/>
      <c r="AP93" s="2189"/>
      <c r="AQ93" s="2189"/>
      <c r="AR93" s="2189"/>
      <c r="AS93" s="2189"/>
      <c r="AT93" s="2189"/>
      <c r="AU93" s="2189"/>
      <c r="AV93" s="2189"/>
      <c r="AW93" s="2189"/>
      <c r="AX93" s="2189"/>
      <c r="AY93" s="2189"/>
      <c r="AZ93" s="2189"/>
      <c r="BA93" s="2189"/>
      <c r="BB93" s="2189"/>
      <c r="BC93" s="2189"/>
      <c r="BD93" s="2189"/>
      <c r="BE93" s="2189"/>
      <c r="BF93" s="2189"/>
    </row>
    <row r="95" s="37744" customFormat="1" customHeight="1" ht="11.25">
      <c r="A95" s="2181" t="s">
        <v>1895</v>
      </c>
    </row>
    <row r="97" s="32343" customFormat="1" customHeight="1" ht="11.25">
      <c r="A97" s="1529"/>
      <c r="B97" s="1529"/>
      <c r="C97" s="1529"/>
      <c r="D97" s="1523"/>
      <c r="E97" s="1533"/>
      <c r="F97" s="2196"/>
      <c r="G97" s="2196"/>
      <c r="H97" s="2196"/>
      <c r="I97" s="2196"/>
      <c r="J97" s="2196"/>
      <c r="K97" s="2196"/>
      <c r="L97" s="2196"/>
      <c r="M97" s="2196"/>
      <c r="N97" s="2196"/>
      <c r="O97" s="2196"/>
      <c r="P97" s="2196"/>
      <c r="Q97" s="2196"/>
      <c r="R97" s="2196"/>
      <c r="S97" s="2196"/>
      <c r="T97" s="2196"/>
      <c r="U97" s="2196"/>
      <c r="V97" s="2196"/>
      <c r="W97" s="2196"/>
      <c r="X97" s="2196"/>
      <c r="Y97" s="2196"/>
      <c r="Z97" s="2200"/>
      <c r="AA97" s="2180">
        <v>1</v>
      </c>
      <c r="AB97" s="1543"/>
      <c r="AC97" s="1532"/>
      <c r="AD97" s="1543">
        <f>AB97</f>
        <v>0</v>
      </c>
      <c r="AE97" s="1532"/>
      <c r="AF97" s="2197"/>
      <c r="AG97" s="2125"/>
      <c r="AH97" s="2125"/>
      <c r="AI97" s="2197"/>
      <c r="AJ97" s="2125"/>
      <c r="AK97" s="2125"/>
      <c r="AL97" s="1536"/>
      <c r="AM97" s="2189"/>
      <c r="AN97" s="2189"/>
      <c r="AO97" s="2189"/>
      <c r="AP97" s="2189"/>
      <c r="AQ97" s="2189"/>
      <c r="AR97" s="2189"/>
      <c r="AS97" s="2189"/>
      <c r="AT97" s="2189"/>
      <c r="AU97" s="2189"/>
      <c r="AV97" s="2189"/>
      <c r="AW97" s="2189"/>
      <c r="AX97" s="2189"/>
      <c r="AY97" s="2189"/>
      <c r="AZ97" s="2189"/>
      <c r="BA97" s="2189"/>
      <c r="BB97" s="2189"/>
      <c r="BC97" s="2189"/>
      <c r="BD97" s="2189"/>
      <c r="BE97" s="2189"/>
      <c r="BF97" s="2189"/>
    </row>
    <row r="99" s="37744" customFormat="1" customHeight="1" ht="11.25">
      <c r="A99" s="2181" t="s">
        <v>1896</v>
      </c>
    </row>
    <row r="101" s="32343" customFormat="1" customHeight="1" ht="11.25">
      <c r="A101" s="1529"/>
      <c r="B101" s="1529"/>
      <c r="C101" s="1529"/>
      <c r="D101" s="1523"/>
      <c r="E101" s="1533"/>
      <c r="F101" s="2195"/>
      <c r="G101" s="2196"/>
      <c r="H101" s="2787" t="s">
        <v>118</v>
      </c>
      <c r="I101" s="2834"/>
      <c r="J101" s="2760"/>
      <c r="K101" s="2835"/>
      <c r="L101" s="2829" t="s">
        <v>56</v>
      </c>
      <c r="M101" s="2403"/>
      <c r="N101" s="1542"/>
      <c r="O101" s="1541" t="s">
        <v>417</v>
      </c>
      <c r="P101" s="1542"/>
      <c r="Q101" s="1542"/>
      <c r="R101" s="1542"/>
      <c r="S101" s="1542"/>
      <c r="T101" s="1542"/>
      <c r="U101" s="1542"/>
      <c r="V101" s="1542"/>
      <c r="W101" s="1542"/>
      <c r="X101" s="1542"/>
      <c r="Y101" s="1542"/>
      <c r="Z101" s="1542"/>
      <c r="AA101" s="1542"/>
      <c r="AB101" s="1542"/>
      <c r="AC101" s="1542"/>
      <c r="AD101" s="1542"/>
      <c r="AE101" s="1542"/>
      <c r="AF101" s="2833"/>
      <c r="AG101" s="2829"/>
      <c r="AH101" s="2829"/>
      <c r="AI101" s="2833"/>
      <c r="AJ101" s="2829"/>
      <c r="AK101" s="2829"/>
      <c r="AL101" s="1536"/>
      <c r="AM101" s="2189"/>
      <c r="AN101" s="2189"/>
      <c r="AO101" s="2189"/>
      <c r="AP101" s="2189"/>
      <c r="AQ101" s="2189"/>
      <c r="AR101" s="2189"/>
      <c r="AS101" s="2189"/>
      <c r="AT101" s="2189"/>
      <c r="AU101" s="2189"/>
      <c r="AV101" s="2189"/>
      <c r="AW101" s="2189"/>
      <c r="AX101" s="2189"/>
      <c r="AY101" s="2189"/>
      <c r="AZ101" s="2189"/>
      <c r="BA101" s="2189"/>
      <c r="BB101" s="2189"/>
      <c r="BC101" s="2189"/>
      <c r="BD101" s="2189"/>
      <c r="BE101" s="2189"/>
      <c r="BF101" s="2189"/>
    </row>
    <row s="32343" customFormat="1" customHeight="1" ht="11.25">
      <c r="A102" s="1529"/>
      <c r="B102" s="1529"/>
      <c r="C102" s="1529"/>
      <c r="D102" s="1523"/>
      <c r="E102" s="1533"/>
      <c r="F102" s="2195"/>
      <c r="G102" s="2196"/>
      <c r="H102" s="2787"/>
      <c r="I102" s="2834"/>
      <c r="J102" s="2760"/>
      <c r="K102" s="2835"/>
      <c r="L102" s="2829"/>
      <c r="M102" s="2403"/>
      <c r="N102" s="2836"/>
      <c r="O102" s="2782">
        <v>1</v>
      </c>
      <c r="P102" s="2777" t="s">
        <v>56</v>
      </c>
      <c r="Q102" s="2780" t="s">
        <v>24</v>
      </c>
      <c r="R102" s="2780" t="s">
        <v>24</v>
      </c>
      <c r="S102" s="2780" t="s">
        <v>24</v>
      </c>
      <c r="T102" s="2780" t="s">
        <v>24</v>
      </c>
      <c r="U102" s="2780" t="s">
        <v>24</v>
      </c>
      <c r="V102" s="2780" t="s">
        <v>24</v>
      </c>
      <c r="W102" s="2780" t="s">
        <v>24</v>
      </c>
      <c r="X102" s="2780" t="s">
        <v>24</v>
      </c>
      <c r="Y102" s="2780"/>
      <c r="Z102" s="1539"/>
      <c r="AA102" s="1540"/>
      <c r="AB102" s="1540"/>
      <c r="AC102" s="1544"/>
      <c r="AD102" s="1544"/>
      <c r="AE102" s="1545"/>
      <c r="AF102" s="2833"/>
      <c r="AG102" s="2829"/>
      <c r="AH102" s="2829"/>
      <c r="AI102" s="2833"/>
      <c r="AJ102" s="2829"/>
      <c r="AK102" s="2829"/>
      <c r="AL102" s="1536"/>
      <c r="AM102" s="2189"/>
      <c r="AN102" s="2189"/>
      <c r="AO102" s="2189"/>
      <c r="AP102" s="2189"/>
      <c r="AQ102" s="2189"/>
      <c r="AR102" s="2189"/>
      <c r="AS102" s="2189"/>
      <c r="AT102" s="2189"/>
      <c r="AU102" s="2189"/>
      <c r="AV102" s="2189"/>
      <c r="AW102" s="2189"/>
      <c r="AX102" s="2189"/>
      <c r="AY102" s="2189"/>
      <c r="AZ102" s="2189"/>
      <c r="BA102" s="2189"/>
      <c r="BB102" s="2189"/>
      <c r="BC102" s="2189"/>
      <c r="BD102" s="2189"/>
      <c r="BE102" s="2189"/>
      <c r="BF102" s="2189"/>
    </row>
    <row s="32343" customFormat="1" customHeight="1" ht="11.25">
      <c r="A103" s="1529"/>
      <c r="B103" s="1529"/>
      <c r="C103" s="1529"/>
      <c r="D103" s="1523"/>
      <c r="E103" s="1533"/>
      <c r="F103" s="2195"/>
      <c r="G103" s="2196"/>
      <c r="H103" s="2787"/>
      <c r="I103" s="2834"/>
      <c r="J103" s="2760"/>
      <c r="K103" s="2835"/>
      <c r="L103" s="2829"/>
      <c r="M103" s="2403"/>
      <c r="N103" s="2836"/>
      <c r="O103" s="2782"/>
      <c r="P103" s="2778"/>
      <c r="Q103" s="2780"/>
      <c r="R103" s="2780"/>
      <c r="S103" s="2783"/>
      <c r="T103" s="2780"/>
      <c r="U103" s="2780"/>
      <c r="V103" s="2780"/>
      <c r="W103" s="2780"/>
      <c r="X103" s="2780"/>
      <c r="Y103" s="2780"/>
      <c r="Z103" s="2194"/>
      <c r="AA103" s="2160">
        <v>1</v>
      </c>
      <c r="AB103" s="1543"/>
      <c r="AC103" s="1532"/>
      <c r="AD103" s="1543">
        <f>AB103</f>
        <v>0</v>
      </c>
      <c r="AE103" s="1532"/>
      <c r="AF103" s="2833"/>
      <c r="AG103" s="2829"/>
      <c r="AH103" s="2829"/>
      <c r="AI103" s="2833"/>
      <c r="AJ103" s="2829"/>
      <c r="AK103" s="2829"/>
      <c r="AL103" s="1536"/>
      <c r="AM103" s="2189"/>
      <c r="AN103" s="2189"/>
      <c r="AO103" s="2189"/>
      <c r="AP103" s="2189"/>
      <c r="AQ103" s="2189"/>
      <c r="AR103" s="2189"/>
      <c r="AS103" s="2189"/>
      <c r="AT103" s="2189"/>
      <c r="AU103" s="2189"/>
      <c r="AV103" s="2189"/>
      <c r="AW103" s="2189"/>
      <c r="AX103" s="2189"/>
      <c r="AY103" s="2189"/>
      <c r="AZ103" s="2189"/>
      <c r="BA103" s="2189"/>
      <c r="BB103" s="2189"/>
      <c r="BC103" s="2189"/>
      <c r="BD103" s="2189"/>
      <c r="BE103" s="2189"/>
      <c r="BF103" s="2189"/>
    </row>
    <row s="32343" customFormat="1" customHeight="1" ht="11.25">
      <c r="A104" s="1529"/>
      <c r="B104" s="1529"/>
      <c r="C104" s="1529"/>
      <c r="D104" s="1523"/>
      <c r="E104" s="1533"/>
      <c r="F104" s="2195"/>
      <c r="G104" s="2196"/>
      <c r="H104" s="2787"/>
      <c r="I104" s="2834"/>
      <c r="J104" s="2760"/>
      <c r="K104" s="2835"/>
      <c r="L104" s="2829"/>
      <c r="M104" s="2403"/>
      <c r="N104" s="2836"/>
      <c r="O104" s="2782"/>
      <c r="P104" s="2779"/>
      <c r="Q104" s="2780"/>
      <c r="R104" s="2780"/>
      <c r="S104" s="2783"/>
      <c r="T104" s="2780"/>
      <c r="U104" s="2780"/>
      <c r="V104" s="2780"/>
      <c r="W104" s="2780"/>
      <c r="X104" s="2780"/>
      <c r="Y104" s="2780"/>
      <c r="Z104" s="1539"/>
      <c r="AA104" s="1540"/>
      <c r="AB104" s="1606" t="s">
        <v>1891</v>
      </c>
      <c r="AC104" s="1544"/>
      <c r="AD104" s="1544"/>
      <c r="AE104" s="1546"/>
      <c r="AF104" s="2833"/>
      <c r="AG104" s="2829"/>
      <c r="AH104" s="2829"/>
      <c r="AI104" s="2833"/>
      <c r="AJ104" s="2829"/>
      <c r="AK104" s="2829"/>
      <c r="AL104" s="1536"/>
      <c r="AM104" s="2189"/>
      <c r="AN104" s="2189"/>
      <c r="AO104" s="2189"/>
      <c r="AP104" s="2189"/>
      <c r="AQ104" s="2189"/>
      <c r="AR104" s="2189"/>
      <c r="AS104" s="2189"/>
      <c r="AT104" s="2189"/>
      <c r="AU104" s="2189"/>
      <c r="AV104" s="2189"/>
      <c r="AW104" s="2189"/>
      <c r="AX104" s="2189"/>
      <c r="AY104" s="2189"/>
      <c r="AZ104" s="2189"/>
      <c r="BA104" s="2189"/>
      <c r="BB104" s="2189"/>
      <c r="BC104" s="2189"/>
      <c r="BD104" s="2189"/>
      <c r="BE104" s="2189"/>
      <c r="BF104" s="2189"/>
    </row>
    <row s="32343" customFormat="1" customHeight="1" ht="11.25">
      <c r="A105" s="1529"/>
      <c r="B105" s="1529"/>
      <c r="C105" s="1529"/>
      <c r="D105" s="1523"/>
      <c r="E105" s="1533"/>
      <c r="F105" s="2195"/>
      <c r="G105" s="2196"/>
      <c r="H105" s="2787"/>
      <c r="I105" s="2834"/>
      <c r="J105" s="2760"/>
      <c r="K105" s="2835"/>
      <c r="L105" s="2829"/>
      <c r="M105" s="2403"/>
      <c r="N105" s="1540"/>
      <c r="O105" s="1540"/>
      <c r="P105" s="1531" t="s">
        <v>1892</v>
      </c>
      <c r="Q105" s="1540"/>
      <c r="R105" s="1540"/>
      <c r="S105" s="1540"/>
      <c r="T105" s="1540"/>
      <c r="U105" s="1540"/>
      <c r="V105" s="1540"/>
      <c r="W105" s="1540"/>
      <c r="X105" s="1540"/>
      <c r="Y105" s="1540"/>
      <c r="Z105" s="1540"/>
      <c r="AA105" s="1540"/>
      <c r="AB105" s="1540"/>
      <c r="AC105" s="1540"/>
      <c r="AD105" s="1540"/>
      <c r="AE105" s="1547"/>
      <c r="AF105" s="2833"/>
      <c r="AG105" s="2829"/>
      <c r="AH105" s="2829"/>
      <c r="AI105" s="2833"/>
      <c r="AJ105" s="2829"/>
      <c r="AK105" s="2829"/>
      <c r="AL105" s="1536"/>
      <c r="AM105" s="2189"/>
      <c r="AN105" s="2189"/>
      <c r="AO105" s="2189"/>
      <c r="AP105" s="2189"/>
      <c r="AQ105" s="2189"/>
      <c r="AR105" s="2189"/>
      <c r="AS105" s="2189"/>
      <c r="AT105" s="2189"/>
      <c r="AU105" s="2189"/>
      <c r="AV105" s="2189"/>
      <c r="AW105" s="2189"/>
      <c r="AX105" s="2189"/>
      <c r="AY105" s="2189"/>
      <c r="AZ105" s="2189"/>
      <c r="BA105" s="2189"/>
      <c r="BB105" s="2189"/>
      <c r="BC105" s="2189"/>
      <c r="BD105" s="2189"/>
      <c r="BE105" s="2189"/>
      <c r="BF105" s="2189"/>
    </row>
    <row r="107" s="37744" customFormat="1" customHeight="1" ht="11.25">
      <c r="A107" s="2181" t="s">
        <v>1897</v>
      </c>
    </row>
    <row customHeight="1" ht="17.25"/>
    <row s="37184" customFormat="1" customHeight="1" ht="21">
      <c r="A109" s="1530"/>
      <c r="B109" s="1301"/>
      <c r="D109" s="1285"/>
      <c r="E109" s="1300" t="s">
        <v>24</v>
      </c>
      <c r="F109" s="1484">
        <f>INDEX(IP_MAIN_LIST_NAME_IP,MATCH(A109,IP_MAIN_LIST_IP_ID,0))&amp;" ("&amp;INDEX(IP_MAIN_START_DATE,MATCH(A109,IP_MAIN_LIST_IP_ID,0))&amp;"-"&amp;INDEX(IP_MAIN_END_DATE,MATCH(A109,IP_MAIN_LIST_IP_ID,0))&amp;")"</f>
      </c>
      <c r="G109" s="1568"/>
      <c r="H109" s="1569"/>
      <c r="I109" s="1569"/>
      <c r="J109" s="1569"/>
      <c r="K109" s="1569"/>
      <c r="L109" s="1569"/>
      <c r="M109" s="1569"/>
      <c r="N109" s="1569"/>
      <c r="O109" s="1568"/>
      <c r="P109" s="1568"/>
      <c r="Q109" s="1568"/>
      <c r="R109" s="1568"/>
      <c r="S109" s="1568"/>
      <c r="T109" s="1568"/>
      <c r="U109" s="1570"/>
      <c r="V109" s="1570"/>
      <c r="W109" s="1570"/>
      <c r="X109" s="1570"/>
      <c r="Y109" s="1570"/>
      <c r="Z109" s="1570"/>
      <c r="AA109" s="1570"/>
      <c r="AB109" s="1568"/>
      <c r="AC109" s="1569"/>
      <c r="AD109" s="1569"/>
      <c r="AE109" s="1569"/>
      <c r="AF109" s="1569"/>
      <c r="AG109" s="1569"/>
      <c r="AH109" s="1569"/>
      <c r="AI109" s="1569"/>
      <c r="AJ109" s="1569"/>
      <c r="AK109" s="1569"/>
      <c r="AL109" s="1569"/>
      <c r="AM109" s="1569"/>
      <c r="AN109" s="1569"/>
      <c r="AO109" s="1569"/>
      <c r="AP109" s="1569"/>
      <c r="AQ109" s="1569"/>
      <c r="AR109" s="1569"/>
      <c r="AS109" s="1569"/>
      <c r="AT109" s="1569"/>
      <c r="AU109" s="1569"/>
      <c r="AV109" s="1569"/>
      <c r="AW109" s="1569"/>
      <c r="AX109" s="1569"/>
      <c r="AY109" s="1569"/>
      <c r="AZ109" s="1569"/>
      <c r="BA109" s="1569"/>
      <c r="BB109" s="1569"/>
      <c r="BC109" s="1569"/>
      <c r="BD109" s="1569"/>
      <c r="BE109" s="1569"/>
      <c r="BF109" s="1569"/>
      <c r="BG109" s="1569"/>
      <c r="BH109" s="1569"/>
      <c r="BI109" s="1569"/>
      <c r="BJ109" s="1569"/>
      <c r="BK109" s="1569"/>
      <c r="BL109" s="1569"/>
      <c r="BM109" s="1569"/>
      <c r="BN109" s="1569"/>
      <c r="BO109" s="1569"/>
      <c r="BP109" s="1569"/>
      <c r="BQ109" s="1569"/>
      <c r="BR109" s="1569"/>
      <c r="BS109" s="1569"/>
      <c r="BT109" s="1569"/>
      <c r="BU109" s="1569"/>
      <c r="BV109" s="1569"/>
      <c r="BW109" s="1569"/>
      <c r="BX109" s="1569"/>
      <c r="BY109" s="1569"/>
      <c r="BZ109" s="1569"/>
      <c r="CA109" s="1569"/>
      <c r="CB109" s="1569"/>
      <c r="CC109" s="1569"/>
      <c r="CD109" s="1569"/>
      <c r="CE109" s="1569"/>
      <c r="CF109" s="1569"/>
      <c r="CG109" s="1569"/>
      <c r="CH109" s="1569"/>
      <c r="CI109" s="1569"/>
      <c r="CJ109" s="1569"/>
      <c r="CK109" s="1569"/>
      <c r="CL109" s="1571"/>
      <c r="CM109" s="1571"/>
      <c r="CN109" s="1571"/>
      <c r="CO109" s="1571"/>
      <c r="CP109" s="1571"/>
      <c r="CQ109" s="1571"/>
      <c r="CR109" s="1571"/>
      <c r="CS109" s="1571"/>
      <c r="CT109" s="1571"/>
      <c r="CU109" s="1571"/>
      <c r="CV109" s="1571"/>
      <c r="CW109" s="1571"/>
      <c r="CX109" s="1571"/>
      <c r="CY109" s="1571"/>
      <c r="CZ109" s="1571"/>
      <c r="DA109" s="1571"/>
      <c r="DB109" s="1571"/>
      <c r="DC109" s="1571"/>
      <c r="DD109" s="1571"/>
      <c r="DE109" s="1571"/>
      <c r="DF109" s="1571"/>
      <c r="DG109" s="1571"/>
      <c r="DH109" s="1571"/>
      <c r="DI109" s="1571"/>
      <c r="DJ109" s="1571"/>
      <c r="DK109" s="1571"/>
      <c r="DL109" s="1571"/>
      <c r="DM109" s="1571"/>
      <c r="DN109" s="1571"/>
      <c r="DO109" s="1571"/>
      <c r="DP109" s="1571"/>
      <c r="DQ109" s="1571"/>
      <c r="DR109" s="1571"/>
      <c r="DS109" s="1571"/>
      <c r="DT109" s="1571"/>
      <c r="DU109" s="1571"/>
      <c r="DV109" s="1571"/>
      <c r="DW109" s="1571"/>
      <c r="DX109" s="1571"/>
      <c r="DY109" s="1571"/>
      <c r="DZ109" s="1571"/>
      <c r="EA109" s="1571"/>
      <c r="EB109" s="1571"/>
      <c r="EC109" s="1571"/>
      <c r="ED109" s="1571"/>
      <c r="EE109" s="1571"/>
      <c r="EF109" s="1571"/>
      <c r="EG109" s="1571"/>
      <c r="EH109" s="1571"/>
      <c r="EI109" s="1571"/>
      <c r="EJ109" s="1571"/>
      <c r="EK109" s="1571"/>
      <c r="EL109" s="1571"/>
      <c r="EM109" s="1571"/>
      <c r="EN109" s="1571"/>
      <c r="EO109" s="1571"/>
      <c r="EP109" s="1571"/>
      <c r="EQ109" s="1571"/>
      <c r="ER109" s="1571"/>
      <c r="ES109" s="1571"/>
      <c r="ET109" s="1571"/>
      <c r="EU109" s="1571"/>
      <c r="EV109" s="1571"/>
      <c r="EW109" s="1571"/>
      <c r="EX109" s="1571"/>
      <c r="EY109" s="1571"/>
      <c r="EZ109" s="1571"/>
      <c r="FA109" s="1571"/>
      <c r="FB109" s="1571"/>
      <c r="FC109" s="1571"/>
      <c r="FD109" s="1571"/>
      <c r="FE109" s="1571"/>
      <c r="FF109" s="1571"/>
      <c r="FG109" s="1571"/>
      <c r="FH109" s="1571"/>
      <c r="FI109" s="1571"/>
      <c r="FJ109" s="1571"/>
      <c r="FK109" s="1571"/>
      <c r="FL109" s="1571"/>
      <c r="FM109" s="1571"/>
      <c r="FN109" s="1571"/>
      <c r="FO109" s="1571"/>
      <c r="FP109" s="1571"/>
      <c r="FQ109" s="1571"/>
      <c r="FR109" s="1571"/>
      <c r="FS109" s="1571"/>
      <c r="FT109" s="1571"/>
      <c r="FU109" s="1571"/>
      <c r="FV109" s="1572"/>
      <c r="FW109" s="1566"/>
      <c r="FX109" s="1567"/>
    </row>
    <row s="37184" customFormat="1" customHeight="1" ht="24.75">
      <c r="B110" s="1284"/>
      <c r="C110" s="1285"/>
      <c r="D110" s="1285"/>
      <c r="E110" s="2201"/>
      <c r="F110" s="1573">
        <v>1</v>
      </c>
      <c r="G110" s="1574"/>
      <c r="H110" s="1575"/>
      <c r="I110" s="2350"/>
      <c r="J110" s="1576"/>
      <c r="K110" s="1576"/>
      <c r="L110" s="1576"/>
      <c r="M110" s="1576"/>
      <c r="N110" s="1576"/>
      <c r="O110" s="1577"/>
      <c r="P110" s="1577"/>
      <c r="Q110" s="1577"/>
      <c r="R110" s="1577"/>
      <c r="S110" s="1577"/>
      <c r="T110" s="1577"/>
      <c r="U110" s="1577"/>
      <c r="V110" s="1577"/>
      <c r="W110" s="1577"/>
      <c r="X110" s="1577"/>
      <c r="Y110" s="1577"/>
      <c r="Z110" s="1577"/>
      <c r="AA110" s="1577"/>
      <c r="AB110" s="1577"/>
      <c r="AC110" s="1576"/>
      <c r="AD110" s="1576"/>
      <c r="AE110" s="1576"/>
      <c r="AF110" s="1576"/>
      <c r="AG110" s="1576"/>
      <c r="AH110" s="1576"/>
      <c r="AI110" s="1576"/>
      <c r="AJ110" s="1576"/>
      <c r="AK110" s="1576"/>
      <c r="AL110" s="1576"/>
      <c r="AM110" s="1576"/>
      <c r="AN110" s="1576"/>
      <c r="AO110" s="1576"/>
      <c r="AP110" s="1576"/>
      <c r="AQ110" s="1576"/>
      <c r="AR110" s="1576"/>
      <c r="AS110" s="1576"/>
      <c r="AT110" s="1576"/>
      <c r="AU110" s="1576"/>
      <c r="AV110" s="1576"/>
      <c r="AW110" s="1576"/>
      <c r="AX110" s="1576"/>
      <c r="AY110" s="1576"/>
      <c r="AZ110" s="1576"/>
      <c r="BA110" s="1576"/>
      <c r="BB110" s="1576"/>
      <c r="BC110" s="1576"/>
      <c r="BD110" s="1576"/>
      <c r="BE110" s="1576"/>
      <c r="BF110" s="1576"/>
      <c r="BG110" s="1576"/>
      <c r="BH110" s="1576"/>
      <c r="BI110" s="1576"/>
      <c r="BJ110" s="1576"/>
      <c r="BK110" s="1576"/>
      <c r="BL110" s="1576"/>
      <c r="BM110" s="1576"/>
      <c r="BN110" s="1576"/>
      <c r="BO110" s="1576"/>
      <c r="BP110" s="1576"/>
      <c r="BQ110" s="1576"/>
      <c r="BR110" s="1576"/>
      <c r="BS110" s="1576"/>
      <c r="BT110" s="1577"/>
      <c r="BU110" s="1577"/>
      <c r="BV110" s="1577"/>
      <c r="BW110" s="1577"/>
      <c r="BX110" s="1577"/>
      <c r="BY110" s="1577"/>
      <c r="BZ110" s="1577"/>
      <c r="CA110" s="1577"/>
      <c r="CB110" s="1577"/>
      <c r="CC110" s="1577"/>
      <c r="CD110" s="1577"/>
      <c r="CE110" s="1577"/>
      <c r="CF110" s="1577"/>
      <c r="CG110" s="1577"/>
      <c r="CH110" s="1577"/>
      <c r="CI110" s="1577"/>
      <c r="CJ110" s="1577"/>
      <c r="CK110" s="1577"/>
      <c r="CL110" s="1576"/>
      <c r="CM110" s="1576"/>
      <c r="CN110" s="1576"/>
      <c r="CO110" s="1576"/>
      <c r="CP110" s="1576"/>
      <c r="CQ110" s="1576"/>
      <c r="CR110" s="1576"/>
      <c r="CS110" s="1576"/>
      <c r="CT110" s="1576"/>
      <c r="CU110" s="1576"/>
      <c r="CV110" s="1576"/>
      <c r="CW110" s="1576"/>
      <c r="CX110" s="1576"/>
      <c r="CY110" s="1577"/>
      <c r="CZ110" s="1577"/>
      <c r="DA110" s="1577"/>
      <c r="DB110" s="1577"/>
      <c r="DC110" s="1577"/>
      <c r="DD110" s="1577"/>
      <c r="DE110" s="1577"/>
      <c r="DF110" s="1577"/>
      <c r="DG110" s="1577"/>
      <c r="DH110" s="1577"/>
      <c r="DI110" s="1577"/>
      <c r="DJ110" s="1577"/>
      <c r="DK110" s="1576"/>
      <c r="DL110" s="1576"/>
      <c r="DM110" s="1576"/>
      <c r="DN110" s="1576"/>
      <c r="DO110" s="1576"/>
      <c r="DP110" s="1576"/>
      <c r="DQ110" s="1576"/>
      <c r="DR110" s="1576"/>
      <c r="DS110" s="1576"/>
      <c r="DT110" s="1576"/>
      <c r="DU110" s="1576"/>
      <c r="DV110" s="1576"/>
      <c r="DW110" s="1576"/>
      <c r="DX110" s="1576"/>
      <c r="DY110" s="1576"/>
      <c r="DZ110" s="1576"/>
      <c r="EA110" s="1576"/>
      <c r="EB110" s="1576"/>
      <c r="EC110" s="1576"/>
      <c r="ED110" s="1576"/>
      <c r="EE110" s="1576"/>
      <c r="EF110" s="1576"/>
      <c r="EG110" s="1576"/>
      <c r="EH110" s="1576"/>
      <c r="EI110" s="1576"/>
      <c r="EJ110" s="1576"/>
      <c r="EK110" s="1576"/>
      <c r="EL110" s="1576"/>
      <c r="EM110" s="1576"/>
      <c r="EN110" s="1576"/>
      <c r="EO110" s="1576"/>
      <c r="EP110" s="1576"/>
      <c r="EQ110" s="1576"/>
      <c r="ER110" s="1576"/>
      <c r="ES110" s="1576"/>
      <c r="ET110" s="1576"/>
      <c r="EU110" s="1576"/>
      <c r="EV110" s="1576"/>
      <c r="EW110" s="1576"/>
      <c r="EX110" s="1576"/>
      <c r="EY110" s="1576"/>
      <c r="EZ110" s="1576"/>
      <c r="FA110" s="1576"/>
      <c r="FB110" s="1576"/>
      <c r="FC110" s="1576"/>
      <c r="FD110" s="1576"/>
      <c r="FE110" s="1576"/>
      <c r="FF110" s="1576"/>
      <c r="FG110" s="1576"/>
      <c r="FH110" s="1576"/>
      <c r="FI110" s="1576"/>
      <c r="FJ110" s="1576"/>
      <c r="FK110" s="1576"/>
      <c r="FL110" s="1576"/>
      <c r="FM110" s="1576"/>
      <c r="FN110" s="1576"/>
      <c r="FO110" s="1576"/>
      <c r="FP110" s="1576"/>
      <c r="FQ110" s="1576"/>
      <c r="FR110" s="1576"/>
      <c r="FS110" s="1576"/>
      <c r="FT110" s="1576"/>
      <c r="FU110" s="1576"/>
      <c r="FV110" s="1576"/>
      <c r="FW110" s="1576"/>
      <c r="FX110" s="1567"/>
    </row>
    <row s="37184" customFormat="1" customHeight="1" ht="12">
      <c r="A111" s="1285"/>
      <c r="B111" s="1284"/>
      <c r="C111" s="1285"/>
      <c r="D111" s="1285"/>
      <c r="E111" s="1285"/>
      <c r="F111" s="1578"/>
      <c r="G111" s="2166" t="s">
        <v>1898</v>
      </c>
      <c r="H111" s="1579"/>
      <c r="I111" s="1579"/>
      <c r="J111" s="1579"/>
      <c r="K111" s="1579"/>
      <c r="L111" s="1579"/>
      <c r="M111" s="1579"/>
      <c r="N111" s="1579"/>
      <c r="O111" s="1579"/>
      <c r="P111" s="1579"/>
      <c r="Q111" s="1579"/>
      <c r="R111" s="1579"/>
      <c r="S111" s="1579"/>
      <c r="T111" s="1579"/>
      <c r="U111" s="1579"/>
      <c r="V111" s="1579"/>
      <c r="W111" s="1579"/>
      <c r="X111" s="1579"/>
      <c r="Y111" s="1579"/>
      <c r="Z111" s="1579"/>
      <c r="AA111" s="1579"/>
      <c r="AB111" s="1579"/>
      <c r="AC111" s="1579"/>
      <c r="AD111" s="1579"/>
      <c r="AE111" s="1579"/>
      <c r="AF111" s="1579"/>
      <c r="AG111" s="1579"/>
      <c r="AH111" s="1579"/>
      <c r="AI111" s="1579"/>
      <c r="AJ111" s="1579"/>
      <c r="AK111" s="1579"/>
      <c r="AL111" s="1579"/>
      <c r="AM111" s="1579"/>
      <c r="AN111" s="1579"/>
      <c r="AO111" s="1579"/>
      <c r="AP111" s="1579"/>
      <c r="AQ111" s="1579"/>
      <c r="AR111" s="1579"/>
      <c r="AS111" s="1579"/>
      <c r="AT111" s="1579"/>
      <c r="AU111" s="1579"/>
      <c r="AV111" s="1579"/>
      <c r="AW111" s="1579"/>
      <c r="AX111" s="1579"/>
      <c r="AY111" s="1579"/>
      <c r="AZ111" s="1579"/>
      <c r="BA111" s="1579"/>
      <c r="BB111" s="1579"/>
      <c r="BC111" s="1579"/>
      <c r="BD111" s="1579"/>
      <c r="BE111" s="1579"/>
      <c r="BF111" s="1579"/>
      <c r="BG111" s="1579"/>
      <c r="BH111" s="1579"/>
      <c r="BI111" s="1579"/>
      <c r="BJ111" s="1579"/>
      <c r="BK111" s="1579"/>
      <c r="BL111" s="1579"/>
      <c r="BM111" s="1579"/>
      <c r="BN111" s="1579"/>
      <c r="BO111" s="1579"/>
      <c r="BP111" s="1579"/>
      <c r="BQ111" s="1579"/>
      <c r="BR111" s="1579"/>
      <c r="BS111" s="1579"/>
      <c r="BT111" s="1579"/>
      <c r="BU111" s="1579"/>
      <c r="BV111" s="1579"/>
      <c r="BW111" s="1579"/>
      <c r="BX111" s="1579"/>
      <c r="BY111" s="1579"/>
      <c r="BZ111" s="1579"/>
      <c r="CA111" s="1579"/>
      <c r="CB111" s="1579"/>
      <c r="CC111" s="1579"/>
      <c r="CD111" s="1579"/>
      <c r="CE111" s="1579"/>
      <c r="CF111" s="1579"/>
      <c r="CG111" s="1579"/>
      <c r="CH111" s="1579"/>
      <c r="CI111" s="1579"/>
      <c r="CJ111" s="1579"/>
      <c r="CK111" s="1579"/>
      <c r="CL111" s="1579"/>
      <c r="CM111" s="1579"/>
      <c r="CN111" s="1579"/>
      <c r="CO111" s="1579"/>
      <c r="CP111" s="1579"/>
      <c r="CQ111" s="1579"/>
      <c r="CR111" s="1579"/>
      <c r="CS111" s="1579"/>
      <c r="CT111" s="1579"/>
      <c r="CU111" s="1579"/>
      <c r="CV111" s="1579"/>
      <c r="CW111" s="1579"/>
      <c r="CX111" s="1579"/>
      <c r="CY111" s="1579"/>
      <c r="CZ111" s="1579"/>
      <c r="DA111" s="1579"/>
      <c r="DB111" s="1579"/>
      <c r="DC111" s="1579"/>
      <c r="DD111" s="1579"/>
      <c r="DE111" s="1579"/>
      <c r="DF111" s="1579"/>
      <c r="DG111" s="1579"/>
      <c r="DH111" s="1579"/>
      <c r="DI111" s="1579"/>
      <c r="DJ111" s="1579"/>
      <c r="DK111" s="1579"/>
      <c r="DL111" s="1579"/>
      <c r="DM111" s="1579"/>
      <c r="DN111" s="1579"/>
      <c r="DO111" s="1579"/>
      <c r="DP111" s="1579"/>
      <c r="DQ111" s="1579"/>
      <c r="DR111" s="1579"/>
      <c r="DS111" s="1579"/>
      <c r="DT111" s="1579"/>
      <c r="DU111" s="1579"/>
      <c r="DV111" s="1579"/>
      <c r="DW111" s="1579"/>
      <c r="DX111" s="1579"/>
      <c r="DY111" s="1579"/>
      <c r="DZ111" s="1579"/>
      <c r="EA111" s="1579"/>
      <c r="EB111" s="1579"/>
      <c r="EC111" s="1579"/>
      <c r="ED111" s="1579"/>
      <c r="EE111" s="1579"/>
      <c r="EF111" s="1579"/>
      <c r="EG111" s="1579"/>
      <c r="EH111" s="1579"/>
      <c r="EI111" s="1579"/>
      <c r="EJ111" s="1579"/>
      <c r="EK111" s="1579"/>
      <c r="EL111" s="1579"/>
      <c r="EM111" s="1579"/>
      <c r="EN111" s="1579"/>
      <c r="EO111" s="1579"/>
      <c r="EP111" s="1579"/>
      <c r="EQ111" s="1579"/>
      <c r="ER111" s="1579"/>
      <c r="ES111" s="1579"/>
      <c r="ET111" s="1579"/>
      <c r="EU111" s="1579"/>
      <c r="EV111" s="1579"/>
      <c r="EW111" s="1579"/>
      <c r="EX111" s="1579"/>
      <c r="EY111" s="1579"/>
      <c r="EZ111" s="1579"/>
      <c r="FA111" s="1579"/>
      <c r="FB111" s="1579"/>
      <c r="FC111" s="1579"/>
      <c r="FD111" s="1579"/>
      <c r="FE111" s="1579"/>
      <c r="FF111" s="1579"/>
      <c r="FG111" s="1579"/>
      <c r="FH111" s="1579"/>
      <c r="FI111" s="1579"/>
      <c r="FJ111" s="1579"/>
      <c r="FK111" s="1579"/>
      <c r="FL111" s="1579"/>
      <c r="FM111" s="1579"/>
      <c r="FN111" s="1579"/>
      <c r="FO111" s="1579"/>
      <c r="FP111" s="1579"/>
      <c r="FQ111" s="1579"/>
      <c r="FR111" s="1579"/>
      <c r="FS111" s="1579"/>
      <c r="FT111" s="1579"/>
      <c r="FU111" s="1579"/>
      <c r="FV111" s="1579"/>
      <c r="FW111" s="1580"/>
      <c r="FX111" s="1581"/>
      <c r="FY111" s="1302"/>
      <c r="FZ111" s="1302"/>
      <c r="GA111" s="1302"/>
      <c r="GB111" s="1302"/>
    </row>
    <row r="113" s="37744" customFormat="1" customHeight="1" ht="11.25">
      <c r="A113" s="2181" t="s">
        <v>1899</v>
      </c>
    </row>
    <row r="115" s="31510" customFormat="1" customHeight="1" ht="15">
      <c r="A115" s="984"/>
      <c r="B115" s="985"/>
      <c r="C115" s="985"/>
      <c r="D115" s="2792" t="s">
        <v>118</v>
      </c>
      <c r="E115" s="2648" t="s">
        <v>114</v>
      </c>
      <c r="F115" s="2649"/>
      <c r="G115" s="2650"/>
      <c r="H115" s="2643" t="str">
        <f>IF(A115="","",INDEX(DIFFERENTIATION_UNMERGE_VD,MATCH(A115,DIFFERENTIATION_ID_DIFF,0)))</f>
        <v/>
      </c>
      <c r="I115" s="2643"/>
      <c r="J115" s="2643"/>
      <c r="K115" s="2643"/>
      <c r="L115" s="2643"/>
      <c r="M115" s="2643"/>
      <c r="N115" s="2643"/>
      <c r="O115" s="2643"/>
      <c r="P115" s="2643"/>
      <c r="Q115" s="2643"/>
      <c r="R115" s="2643"/>
      <c r="S115" s="1080"/>
      <c r="T115" s="1077"/>
      <c r="U115" s="986"/>
      <c r="V115" s="986"/>
      <c r="W115" s="987"/>
      <c r="X115" s="987"/>
      <c r="Y115" s="987"/>
      <c r="Z115" s="987"/>
      <c r="AA115" s="988"/>
      <c r="AB115" s="989"/>
      <c r="AC115" s="2647"/>
      <c r="AD115" s="990"/>
      <c r="AE115" s="991" t="s">
        <v>24</v>
      </c>
      <c r="AF115" s="991"/>
      <c r="AG115" s="992" t="s">
        <v>650</v>
      </c>
      <c r="AH115" s="993">
        <v>3</v>
      </c>
      <c r="AI115" s="986"/>
      <c r="AJ115" s="986"/>
      <c r="AK115" s="986"/>
      <c r="AL115" s="986"/>
      <c r="AM115" s="986"/>
      <c r="AN115" s="986"/>
      <c r="AO115" s="986"/>
      <c r="AP115" s="986"/>
      <c r="AQ115" s="986"/>
      <c r="AR115" s="986"/>
      <c r="AS115" s="986"/>
      <c r="AT115" s="986"/>
      <c r="AU115" s="986"/>
      <c r="AV115" s="986"/>
      <c r="AW115" s="986"/>
      <c r="AX115" s="986"/>
      <c r="AY115" s="986"/>
      <c r="AZ115" s="986"/>
      <c r="BA115" s="986"/>
      <c r="BB115" s="986"/>
      <c r="BC115" s="986"/>
      <c r="BD115" s="986"/>
      <c r="BE115" s="986"/>
      <c r="BF115" s="986"/>
      <c r="BG115" s="986"/>
      <c r="BH115" s="986"/>
      <c r="BI115" s="986"/>
      <c r="BJ115" s="986"/>
      <c r="BK115" s="986"/>
      <c r="BL115" s="986"/>
      <c r="BM115" s="986"/>
      <c r="BN115" s="986"/>
      <c r="BO115" s="986"/>
      <c r="BP115" s="986"/>
      <c r="BQ115" s="986"/>
      <c r="BR115" s="986"/>
      <c r="BS115" s="986"/>
      <c r="BT115" s="986"/>
      <c r="BU115" s="986"/>
      <c r="BV115" s="987"/>
      <c r="BW115" s="987"/>
      <c r="BX115" s="987"/>
      <c r="BY115" s="987"/>
      <c r="BZ115" s="987"/>
      <c r="CA115" s="987"/>
      <c r="CB115" s="987"/>
      <c r="CC115" s="987"/>
      <c r="CD115" s="987"/>
      <c r="CE115" s="987"/>
    </row>
    <row s="31510" customFormat="1" customHeight="1" ht="15">
      <c r="A116" s="984"/>
      <c r="B116" s="985"/>
      <c r="C116" s="985"/>
      <c r="D116" s="2793"/>
      <c r="E116" s="2648" t="s">
        <v>605</v>
      </c>
      <c r="F116" s="2649"/>
      <c r="G116" s="2650"/>
      <c r="H116" s="2643" t="str">
        <f>IF(A115="","",INDEX(DIFFERENTIATION_UNMERGE_AREA,MATCH(A115,DIFFERENTIATION_ID_DIFF,0)))</f>
        <v/>
      </c>
      <c r="I116" s="2643"/>
      <c r="J116" s="2643"/>
      <c r="K116" s="2643"/>
      <c r="L116" s="2643"/>
      <c r="M116" s="2643"/>
      <c r="N116" s="2643"/>
      <c r="O116" s="2643"/>
      <c r="P116" s="2643"/>
      <c r="Q116" s="2643"/>
      <c r="R116" s="2643"/>
      <c r="S116" s="1080"/>
      <c r="T116" s="1077"/>
      <c r="U116" s="986"/>
      <c r="V116" s="986"/>
      <c r="W116" s="987"/>
      <c r="X116" s="987"/>
      <c r="Y116" s="987"/>
      <c r="Z116" s="987"/>
      <c r="AA116" s="988"/>
      <c r="AB116" s="989"/>
      <c r="AC116" s="2647"/>
      <c r="AD116" s="990"/>
      <c r="AE116" s="991"/>
      <c r="AF116" s="991"/>
      <c r="AG116" s="992"/>
      <c r="AH116" s="993"/>
      <c r="AI116" s="986"/>
      <c r="AJ116" s="986"/>
      <c r="AK116" s="986"/>
      <c r="AL116" s="986"/>
      <c r="AM116" s="986"/>
      <c r="AN116" s="986"/>
      <c r="AO116" s="986"/>
      <c r="AP116" s="986"/>
      <c r="AQ116" s="986"/>
      <c r="AR116" s="986"/>
      <c r="AS116" s="986"/>
      <c r="AT116" s="986"/>
      <c r="AU116" s="986"/>
      <c r="AV116" s="986"/>
      <c r="AW116" s="986"/>
      <c r="AX116" s="986"/>
      <c r="AY116" s="986"/>
      <c r="AZ116" s="986"/>
      <c r="BA116" s="986"/>
      <c r="BB116" s="986"/>
      <c r="BC116" s="986"/>
      <c r="BD116" s="986"/>
      <c r="BE116" s="986"/>
      <c r="BF116" s="986"/>
      <c r="BG116" s="986"/>
      <c r="BH116" s="986"/>
      <c r="BI116" s="986"/>
      <c r="BJ116" s="986"/>
      <c r="BK116" s="986"/>
      <c r="BL116" s="986"/>
      <c r="BM116" s="986"/>
      <c r="BN116" s="986"/>
      <c r="BO116" s="986"/>
      <c r="BP116" s="986"/>
      <c r="BQ116" s="986"/>
      <c r="BR116" s="986"/>
      <c r="BS116" s="986"/>
      <c r="BT116" s="986"/>
      <c r="BU116" s="986"/>
      <c r="BV116" s="987"/>
      <c r="BW116" s="987"/>
      <c r="BX116" s="987"/>
      <c r="BY116" s="987"/>
      <c r="BZ116" s="987"/>
      <c r="CA116" s="987"/>
      <c r="CB116" s="987"/>
      <c r="CC116" s="987"/>
      <c r="CD116" s="987"/>
      <c r="CE116" s="987"/>
    </row>
    <row s="31510" customFormat="1" customHeight="1" ht="15">
      <c r="A117" s="984"/>
      <c r="B117" s="985"/>
      <c r="C117" s="985"/>
      <c r="D117" s="2793"/>
      <c r="E117" s="2648" t="s">
        <v>606</v>
      </c>
      <c r="F117" s="2649"/>
      <c r="G117" s="2650"/>
      <c r="H117" s="2643" t="str">
        <f>IF(A115="","",INDEX(DIFFERENTIATION_UNMERGE_SYSTEM,MATCH(A115,DIFFERENTIATION_ID_DIFF,0)))</f>
        <v/>
      </c>
      <c r="I117" s="2643"/>
      <c r="J117" s="2643"/>
      <c r="K117" s="2643"/>
      <c r="L117" s="2643"/>
      <c r="M117" s="2643"/>
      <c r="N117" s="2643"/>
      <c r="O117" s="2643"/>
      <c r="P117" s="2643"/>
      <c r="Q117" s="2643"/>
      <c r="R117" s="2643"/>
      <c r="S117" s="1080"/>
      <c r="T117" s="1077"/>
      <c r="U117" s="986"/>
      <c r="V117" s="986"/>
      <c r="W117" s="987"/>
      <c r="X117" s="987"/>
      <c r="Y117" s="987"/>
      <c r="Z117" s="987"/>
      <c r="AA117" s="988"/>
      <c r="AB117" s="989"/>
      <c r="AC117" s="2647"/>
      <c r="AD117" s="990"/>
      <c r="AE117" s="991"/>
      <c r="AF117" s="991"/>
      <c r="AG117" s="992"/>
      <c r="AH117" s="993"/>
      <c r="AI117" s="986"/>
      <c r="AJ117" s="986"/>
      <c r="AK117" s="986"/>
      <c r="AL117" s="986"/>
      <c r="AM117" s="986"/>
      <c r="AN117" s="986"/>
      <c r="AO117" s="986"/>
      <c r="AP117" s="986"/>
      <c r="AQ117" s="986"/>
      <c r="AR117" s="986"/>
      <c r="AS117" s="986"/>
      <c r="AT117" s="986"/>
      <c r="AU117" s="986"/>
      <c r="AV117" s="986"/>
      <c r="AW117" s="986"/>
      <c r="AX117" s="986"/>
      <c r="AY117" s="986"/>
      <c r="AZ117" s="986"/>
      <c r="BA117" s="986"/>
      <c r="BB117" s="986"/>
      <c r="BC117" s="986"/>
      <c r="BD117" s="986"/>
      <c r="BE117" s="986"/>
      <c r="BF117" s="986"/>
      <c r="BG117" s="986"/>
      <c r="BH117" s="986"/>
      <c r="BI117" s="986"/>
      <c r="BJ117" s="986"/>
      <c r="BK117" s="986"/>
      <c r="BL117" s="986"/>
      <c r="BM117" s="986"/>
      <c r="BN117" s="986"/>
      <c r="BO117" s="986"/>
      <c r="BP117" s="986"/>
      <c r="BQ117" s="986"/>
      <c r="BR117" s="986"/>
      <c r="BS117" s="986"/>
      <c r="BT117" s="986"/>
      <c r="BU117" s="986"/>
      <c r="BV117" s="987"/>
      <c r="BW117" s="987"/>
      <c r="BX117" s="987"/>
      <c r="BY117" s="987"/>
      <c r="BZ117" s="987"/>
      <c r="CA117" s="987"/>
      <c r="CB117" s="987"/>
      <c r="CC117" s="987"/>
      <c r="CD117" s="987"/>
      <c r="CE117" s="987"/>
    </row>
    <row s="31510" customFormat="1" customHeight="1" ht="24.75">
      <c r="A118" s="2172"/>
      <c r="B118" s="1523"/>
      <c r="C118" s="773"/>
      <c r="D118" s="2793"/>
      <c r="E118" s="2645" t="s">
        <v>651</v>
      </c>
      <c r="F118" s="2645"/>
      <c r="G118" s="2645"/>
      <c r="H118" s="2645"/>
      <c r="I118" s="2645"/>
      <c r="J118" s="2645"/>
      <c r="K118" s="2645"/>
      <c r="L118" s="2645"/>
      <c r="M118" s="2645"/>
      <c r="N118" s="2645"/>
      <c r="O118" s="2645"/>
      <c r="P118" s="2645"/>
      <c r="Q118" s="919">
        <f>SUMIF(T119:T120,"i",Q119:Q120)</f>
        <v>0</v>
      </c>
      <c r="R118" s="1379"/>
      <c r="S118" s="2164" t="s">
        <v>652</v>
      </c>
      <c r="T118" s="1078" t="s">
        <v>653</v>
      </c>
      <c r="U118" s="2646">
        <v>1</v>
      </c>
      <c r="V118" s="2646" t="s">
        <v>616</v>
      </c>
      <c r="W118" s="1523"/>
      <c r="X118" s="1523"/>
      <c r="Y118" s="1523"/>
      <c r="Z118" s="1523"/>
      <c r="AA118" s="2002"/>
      <c r="AB118" s="1523"/>
      <c r="AC118" s="2647"/>
      <c r="AD118" s="990"/>
      <c r="AE118" s="1523"/>
      <c r="AF118" s="1523"/>
      <c r="AG118" s="2002"/>
      <c r="AH118" s="2002"/>
      <c r="AI118" s="2002"/>
      <c r="AJ118" s="2002"/>
      <c r="AK118" s="2002"/>
      <c r="AL118" s="2002"/>
      <c r="AM118" s="2002"/>
      <c r="AN118" s="2002"/>
      <c r="AO118" s="2002"/>
      <c r="AP118" s="2002"/>
      <c r="AQ118" s="2002"/>
      <c r="AR118" s="2002"/>
      <c r="AS118" s="2002"/>
      <c r="AT118" s="2002"/>
      <c r="AU118" s="2002"/>
      <c r="AV118" s="2002"/>
      <c r="AW118" s="2002"/>
      <c r="AX118" s="2002"/>
      <c r="AY118" s="2002"/>
      <c r="AZ118" s="2002"/>
      <c r="BA118" s="2002"/>
      <c r="BB118" s="2002"/>
      <c r="BC118" s="2002"/>
      <c r="BD118" s="2002"/>
      <c r="BE118" s="2002"/>
      <c r="BF118" s="2002"/>
      <c r="BG118" s="2002"/>
      <c r="BH118" s="2002"/>
      <c r="BI118" s="2002"/>
      <c r="BJ118" s="2002"/>
      <c r="BK118" s="2002"/>
      <c r="BL118" s="2002"/>
      <c r="BM118" s="2002"/>
      <c r="BN118" s="2002"/>
      <c r="BO118" s="2002"/>
      <c r="BP118" s="2002"/>
      <c r="BQ118" s="2002"/>
      <c r="BR118" s="2002"/>
      <c r="BS118" s="2002"/>
      <c r="BT118" s="2002"/>
      <c r="BU118" s="2002"/>
      <c r="BV118" s="1523"/>
      <c r="BW118" s="1523"/>
      <c r="BX118" s="1523"/>
      <c r="BY118" s="1523"/>
      <c r="BZ118" s="1523"/>
      <c r="CA118" s="1523"/>
      <c r="CB118" s="1523"/>
      <c r="CC118" s="1523"/>
      <c r="CD118" s="1523"/>
      <c r="CE118" s="1523"/>
    </row>
    <row s="31510" customFormat="1" customHeight="1" ht="11.25" hidden="1">
      <c r="A119" s="2159"/>
      <c r="B119" s="2002"/>
      <c r="C119" s="2002"/>
      <c r="D119" s="2793"/>
      <c r="E119" s="996"/>
      <c r="F119" s="996">
        <v>0</v>
      </c>
      <c r="G119" s="996"/>
      <c r="H119" s="996"/>
      <c r="I119" s="996"/>
      <c r="J119" s="996"/>
      <c r="K119" s="996"/>
      <c r="L119" s="996"/>
      <c r="M119" s="996"/>
      <c r="N119" s="996"/>
      <c r="O119" s="996"/>
      <c r="P119" s="996"/>
      <c r="Q119" s="996"/>
      <c r="R119" s="996"/>
      <c r="S119" s="997"/>
      <c r="T119" s="1079"/>
      <c r="U119" s="2646"/>
      <c r="V119" s="2646"/>
      <c r="W119" s="2002"/>
      <c r="X119" s="2002"/>
      <c r="Y119" s="2002"/>
      <c r="Z119" s="2002"/>
      <c r="AA119" s="2002"/>
      <c r="AB119" s="1523"/>
      <c r="AC119" s="2647"/>
      <c r="AD119" s="990"/>
      <c r="AE119" s="1523"/>
      <c r="AF119" s="1523"/>
      <c r="AG119" s="2002"/>
      <c r="AH119" s="2002"/>
      <c r="AI119" s="2002"/>
      <c r="AJ119" s="2002"/>
      <c r="AK119" s="2002"/>
      <c r="AL119" s="2002"/>
      <c r="AM119" s="2002"/>
      <c r="AN119" s="2002"/>
      <c r="AO119" s="2002"/>
      <c r="AP119" s="2002"/>
      <c r="AQ119" s="2002"/>
      <c r="AR119" s="2002"/>
      <c r="AS119" s="2002"/>
      <c r="AT119" s="2002"/>
      <c r="AU119" s="2002"/>
      <c r="AV119" s="2002"/>
      <c r="AW119" s="2002"/>
      <c r="AX119" s="2002"/>
      <c r="AY119" s="2002"/>
      <c r="AZ119" s="2002"/>
      <c r="BA119" s="2002"/>
      <c r="BB119" s="2002"/>
      <c r="BC119" s="2002"/>
      <c r="BD119" s="2002"/>
      <c r="BE119" s="2002"/>
      <c r="BF119" s="2002"/>
      <c r="BG119" s="2002"/>
      <c r="BH119" s="2002"/>
      <c r="BI119" s="2002"/>
      <c r="BJ119" s="2002"/>
      <c r="BK119" s="2002"/>
      <c r="BL119" s="2002"/>
      <c r="BM119" s="2002"/>
      <c r="BN119" s="2002"/>
      <c r="BO119" s="2002"/>
      <c r="BP119" s="2002"/>
      <c r="BQ119" s="2002"/>
      <c r="BR119" s="2002"/>
      <c r="BS119" s="2002"/>
      <c r="BT119" s="2002"/>
      <c r="BU119" s="2002"/>
      <c r="BV119" s="2002"/>
      <c r="BW119" s="2002"/>
      <c r="BX119" s="2002"/>
      <c r="BY119" s="2002"/>
      <c r="BZ119" s="2002"/>
      <c r="CA119" s="2002"/>
      <c r="CB119" s="2002"/>
      <c r="CC119" s="2002"/>
      <c r="CD119" s="2002"/>
      <c r="CE119" s="2002"/>
    </row>
    <row s="31510" customFormat="1" customHeight="1" ht="11.25">
      <c r="A120" s="2172"/>
      <c r="B120" s="1523"/>
      <c r="C120" s="773"/>
      <c r="D120" s="2793"/>
      <c r="E120" s="1010" t="s">
        <v>24</v>
      </c>
      <c r="F120" s="1531" t="s">
        <v>24</v>
      </c>
      <c r="G120" s="1531" t="s">
        <v>1900</v>
      </c>
      <c r="H120" s="1012" t="s">
        <v>24</v>
      </c>
      <c r="I120" s="1012"/>
      <c r="J120" s="1012"/>
      <c r="K120" s="1012"/>
      <c r="L120" s="1012"/>
      <c r="M120" s="1012"/>
      <c r="N120" s="1012"/>
      <c r="O120" s="1012"/>
      <c r="P120" s="1012"/>
      <c r="Q120" s="1012"/>
      <c r="R120" s="1013"/>
      <c r="S120" s="1014"/>
      <c r="T120" s="1079"/>
      <c r="U120" s="2646"/>
      <c r="V120" s="2646"/>
      <c r="W120" s="1523"/>
      <c r="X120" s="1523"/>
      <c r="Y120" s="1523"/>
      <c r="Z120" s="1523"/>
      <c r="AA120" s="2002"/>
      <c r="AB120" s="1523"/>
      <c r="AC120" s="2647"/>
      <c r="AD120" s="990"/>
      <c r="AE120" s="1523"/>
      <c r="AF120" s="1523"/>
      <c r="AG120" s="2002"/>
      <c r="AH120" s="2002"/>
      <c r="AI120" s="2002"/>
      <c r="AJ120" s="2002"/>
      <c r="AK120" s="2002"/>
      <c r="AL120" s="2002"/>
      <c r="AM120" s="2002"/>
      <c r="AN120" s="2002"/>
      <c r="AO120" s="2002"/>
      <c r="AP120" s="2002"/>
      <c r="AQ120" s="2002"/>
      <c r="AR120" s="2002"/>
      <c r="AS120" s="2002"/>
      <c r="AT120" s="2002"/>
      <c r="AU120" s="2002"/>
      <c r="AV120" s="2002"/>
      <c r="AW120" s="2002"/>
      <c r="AX120" s="2002"/>
      <c r="AY120" s="2002"/>
      <c r="AZ120" s="2002"/>
      <c r="BA120" s="2002"/>
      <c r="BB120" s="2002"/>
      <c r="BC120" s="2002"/>
      <c r="BD120" s="2002"/>
      <c r="BE120" s="2002"/>
      <c r="BF120" s="2002"/>
      <c r="BG120" s="2002"/>
      <c r="BH120" s="2002"/>
      <c r="BI120" s="2002"/>
      <c r="BJ120" s="2002"/>
      <c r="BK120" s="2002"/>
      <c r="BL120" s="2002"/>
      <c r="BM120" s="2002"/>
      <c r="BN120" s="2002"/>
      <c r="BO120" s="2002"/>
      <c r="BP120" s="2002"/>
      <c r="BQ120" s="2002"/>
      <c r="BR120" s="2002"/>
      <c r="BS120" s="2002"/>
      <c r="BT120" s="2002"/>
      <c r="BU120" s="2002"/>
      <c r="BV120" s="1523"/>
      <c r="BW120" s="1523"/>
      <c r="BX120" s="1523"/>
      <c r="BY120" s="1523"/>
      <c r="BZ120" s="1523"/>
      <c r="CA120" s="1523"/>
      <c r="CB120" s="1523"/>
      <c r="CC120" s="1523"/>
      <c r="CD120" s="1523"/>
      <c r="CE120" s="1523"/>
    </row>
    <row s="31510" customFormat="1" customHeight="1" ht="24.75">
      <c r="A121" s="2172"/>
      <c r="B121" s="1523"/>
      <c r="C121" s="773"/>
      <c r="D121" s="2793"/>
      <c r="E121" s="2645" t="s">
        <v>654</v>
      </c>
      <c r="F121" s="2645"/>
      <c r="G121" s="2645"/>
      <c r="H121" s="2645"/>
      <c r="I121" s="2645"/>
      <c r="J121" s="2645"/>
      <c r="K121" s="2645"/>
      <c r="L121" s="2645"/>
      <c r="M121" s="2645"/>
      <c r="N121" s="2645"/>
      <c r="O121" s="2645"/>
      <c r="P121" s="2645"/>
      <c r="Q121" s="919">
        <f>SUMIF(T122:T123,"i",Q122:Q123)</f>
        <v>0</v>
      </c>
      <c r="R121" s="1379"/>
      <c r="S121" s="2164" t="s">
        <v>655</v>
      </c>
      <c r="T121" s="1078" t="s">
        <v>653</v>
      </c>
      <c r="U121" s="2646">
        <v>1</v>
      </c>
      <c r="V121" s="2646" t="s">
        <v>616</v>
      </c>
      <c r="W121" s="1523"/>
      <c r="X121" s="1523"/>
      <c r="Y121" s="1523"/>
      <c r="Z121" s="1523"/>
      <c r="AA121" s="2002"/>
      <c r="AB121" s="1523"/>
      <c r="AC121" s="2162"/>
      <c r="AD121" s="990"/>
      <c r="AE121" s="1523"/>
      <c r="AF121" s="1523"/>
      <c r="AG121" s="2002"/>
      <c r="AH121" s="2002"/>
      <c r="AI121" s="2002"/>
      <c r="AJ121" s="2002"/>
      <c r="AK121" s="2002"/>
      <c r="AL121" s="2002"/>
      <c r="AM121" s="2002"/>
      <c r="AN121" s="2002"/>
      <c r="AO121" s="2002"/>
      <c r="AP121" s="2002"/>
      <c r="AQ121" s="2002"/>
      <c r="AR121" s="2002"/>
      <c r="AS121" s="2002"/>
      <c r="AT121" s="2002"/>
      <c r="AU121" s="2002"/>
      <c r="AV121" s="2002"/>
      <c r="AW121" s="2002"/>
      <c r="AX121" s="2002"/>
      <c r="AY121" s="2002"/>
      <c r="AZ121" s="2002"/>
      <c r="BA121" s="2002"/>
      <c r="BB121" s="2002"/>
      <c r="BC121" s="2002"/>
      <c r="BD121" s="2002"/>
      <c r="BE121" s="2002"/>
      <c r="BF121" s="2002"/>
      <c r="BG121" s="2002"/>
      <c r="BH121" s="2002"/>
      <c r="BI121" s="2002"/>
      <c r="BJ121" s="2002"/>
      <c r="BK121" s="2002"/>
      <c r="BL121" s="2002"/>
      <c r="BM121" s="2002"/>
      <c r="BN121" s="2002"/>
      <c r="BO121" s="2002"/>
      <c r="BP121" s="2002"/>
      <c r="BQ121" s="2002"/>
      <c r="BR121" s="2002"/>
      <c r="BS121" s="2002"/>
      <c r="BT121" s="2002"/>
      <c r="BU121" s="2002"/>
      <c r="BV121" s="1523"/>
      <c r="BW121" s="1523"/>
      <c r="BX121" s="1523"/>
      <c r="BY121" s="1523"/>
      <c r="BZ121" s="1523"/>
      <c r="CA121" s="1523"/>
      <c r="CB121" s="1523"/>
      <c r="CC121" s="1523"/>
      <c r="CD121" s="1523"/>
      <c r="CE121" s="1523"/>
    </row>
    <row s="31510" customFormat="1" customHeight="1" ht="11.25" hidden="1">
      <c r="A122" s="2159"/>
      <c r="B122" s="2002"/>
      <c r="C122" s="2002"/>
      <c r="D122" s="2793"/>
      <c r="E122" s="996"/>
      <c r="F122" s="996">
        <v>0</v>
      </c>
      <c r="G122" s="996"/>
      <c r="H122" s="996"/>
      <c r="I122" s="996"/>
      <c r="J122" s="996"/>
      <c r="K122" s="996"/>
      <c r="L122" s="996"/>
      <c r="M122" s="996"/>
      <c r="N122" s="996"/>
      <c r="O122" s="996"/>
      <c r="P122" s="996"/>
      <c r="Q122" s="996"/>
      <c r="R122" s="996"/>
      <c r="S122" s="997"/>
      <c r="T122" s="1079"/>
      <c r="U122" s="2646"/>
      <c r="V122" s="2646"/>
      <c r="W122" s="2002"/>
      <c r="X122" s="2002"/>
      <c r="Y122" s="2002"/>
      <c r="Z122" s="2002"/>
      <c r="AA122" s="2002"/>
      <c r="AB122" s="1523"/>
      <c r="AC122" s="2162"/>
      <c r="AD122" s="990"/>
      <c r="AE122" s="1523"/>
      <c r="AF122" s="1523"/>
      <c r="AG122" s="2002"/>
      <c r="AH122" s="2002"/>
      <c r="AI122" s="2002"/>
      <c r="AJ122" s="2002"/>
      <c r="AK122" s="2002"/>
      <c r="AL122" s="2002"/>
      <c r="AM122" s="2002"/>
      <c r="AN122" s="2002"/>
      <c r="AO122" s="2002"/>
      <c r="AP122" s="2002"/>
      <c r="AQ122" s="2002"/>
      <c r="AR122" s="2002"/>
      <c r="AS122" s="2002"/>
      <c r="AT122" s="2002"/>
      <c r="AU122" s="2002"/>
      <c r="AV122" s="2002"/>
      <c r="AW122" s="2002"/>
      <c r="AX122" s="2002"/>
      <c r="AY122" s="2002"/>
      <c r="AZ122" s="2002"/>
      <c r="BA122" s="2002"/>
      <c r="BB122" s="2002"/>
      <c r="BC122" s="2002"/>
      <c r="BD122" s="2002"/>
      <c r="BE122" s="2002"/>
      <c r="BF122" s="2002"/>
      <c r="BG122" s="2002"/>
      <c r="BH122" s="2002"/>
      <c r="BI122" s="2002"/>
      <c r="BJ122" s="2002"/>
      <c r="BK122" s="2002"/>
      <c r="BL122" s="2002"/>
      <c r="BM122" s="2002"/>
      <c r="BN122" s="2002"/>
      <c r="BO122" s="2002"/>
      <c r="BP122" s="2002"/>
      <c r="BQ122" s="2002"/>
      <c r="BR122" s="2002"/>
      <c r="BS122" s="2002"/>
      <c r="BT122" s="2002"/>
      <c r="BU122" s="2002"/>
      <c r="BV122" s="2002"/>
      <c r="BW122" s="2002"/>
      <c r="BX122" s="2002"/>
      <c r="BY122" s="2002"/>
      <c r="BZ122" s="2002"/>
      <c r="CA122" s="2002"/>
      <c r="CB122" s="2002"/>
      <c r="CC122" s="2002"/>
      <c r="CD122" s="2002"/>
      <c r="CE122" s="2002"/>
    </row>
    <row s="31510" customFormat="1" customHeight="1" ht="11.25">
      <c r="A123" s="2172"/>
      <c r="B123" s="1523"/>
      <c r="C123" s="773"/>
      <c r="D123" s="2794"/>
      <c r="E123" s="1010" t="s">
        <v>24</v>
      </c>
      <c r="F123" s="1531" t="s">
        <v>24</v>
      </c>
      <c r="G123" s="1531" t="s">
        <v>1900</v>
      </c>
      <c r="H123" s="1012" t="s">
        <v>24</v>
      </c>
      <c r="I123" s="1012"/>
      <c r="J123" s="1012"/>
      <c r="K123" s="1012"/>
      <c r="L123" s="1012"/>
      <c r="M123" s="1012"/>
      <c r="N123" s="1012"/>
      <c r="O123" s="1012"/>
      <c r="P123" s="1012"/>
      <c r="Q123" s="1012"/>
      <c r="R123" s="1013"/>
      <c r="S123" s="1014"/>
      <c r="T123" s="1079"/>
      <c r="U123" s="2646"/>
      <c r="V123" s="2646"/>
      <c r="W123" s="1523"/>
      <c r="X123" s="1523"/>
      <c r="Y123" s="1523"/>
      <c r="Z123" s="1523"/>
      <c r="AA123" s="2002"/>
      <c r="AB123" s="1523"/>
      <c r="AC123" s="2162"/>
      <c r="AD123" s="990"/>
      <c r="AE123" s="1523"/>
      <c r="AF123" s="1523"/>
      <c r="AG123" s="2002"/>
      <c r="AH123" s="2002"/>
      <c r="AI123" s="2002"/>
      <c r="AJ123" s="2002"/>
      <c r="AK123" s="2002"/>
      <c r="AL123" s="2002"/>
      <c r="AM123" s="2002"/>
      <c r="AN123" s="2002"/>
      <c r="AO123" s="2002"/>
      <c r="AP123" s="2002"/>
      <c r="AQ123" s="2002"/>
      <c r="AR123" s="2002"/>
      <c r="AS123" s="2002"/>
      <c r="AT123" s="2002"/>
      <c r="AU123" s="2002"/>
      <c r="AV123" s="2002"/>
      <c r="AW123" s="2002"/>
      <c r="AX123" s="2002"/>
      <c r="AY123" s="2002"/>
      <c r="AZ123" s="2002"/>
      <c r="BA123" s="2002"/>
      <c r="BB123" s="2002"/>
      <c r="BC123" s="2002"/>
      <c r="BD123" s="2002"/>
      <c r="BE123" s="2002"/>
      <c r="BF123" s="2002"/>
      <c r="BG123" s="2002"/>
      <c r="BH123" s="2002"/>
      <c r="BI123" s="2002"/>
      <c r="BJ123" s="2002"/>
      <c r="BK123" s="2002"/>
      <c r="BL123" s="2002"/>
      <c r="BM123" s="2002"/>
      <c r="BN123" s="2002"/>
      <c r="BO123" s="2002"/>
      <c r="BP123" s="2002"/>
      <c r="BQ123" s="2002"/>
      <c r="BR123" s="2002"/>
      <c r="BS123" s="2002"/>
      <c r="BT123" s="2002"/>
      <c r="BU123" s="2002"/>
      <c r="BV123" s="1523"/>
      <c r="BW123" s="1523"/>
      <c r="BX123" s="1523"/>
      <c r="BY123" s="1523"/>
      <c r="BZ123" s="1523"/>
      <c r="CA123" s="1523"/>
      <c r="CB123" s="1523"/>
      <c r="CC123" s="1523"/>
      <c r="CD123" s="1523"/>
      <c r="CE123" s="1523"/>
    </row>
    <row r="125" s="37744" customFormat="1" customHeight="1" ht="11.25">
      <c r="A125" s="2181" t="s">
        <v>1901</v>
      </c>
    </row>
    <row r="127" s="31510" customFormat="1" customHeight="1" ht="15">
      <c r="A127" s="984"/>
      <c r="B127" s="985"/>
      <c r="C127" s="985"/>
      <c r="D127" s="2792" t="s">
        <v>118</v>
      </c>
      <c r="E127" s="2648" t="s">
        <v>114</v>
      </c>
      <c r="F127" s="2649"/>
      <c r="G127" s="2650"/>
      <c r="H127" s="2643" t="str">
        <f>IF(A127="","",INDEX(DIFFERENTIATION_UNMERGE_VD,MATCH(A127,DIFFERENTIATION_ID_DIFF,0)))</f>
        <v/>
      </c>
      <c r="I127" s="2643"/>
      <c r="J127" s="2643"/>
      <c r="K127" s="2643"/>
      <c r="L127" s="2643"/>
      <c r="M127" s="2643"/>
      <c r="N127" s="2643"/>
      <c r="O127" s="2643"/>
      <c r="P127" s="2643"/>
      <c r="Q127" s="2643"/>
      <c r="R127" s="2643"/>
      <c r="S127" s="1080"/>
      <c r="T127" s="1077"/>
      <c r="U127" s="986"/>
      <c r="V127" s="986"/>
      <c r="W127" s="987"/>
      <c r="X127" s="987"/>
      <c r="Y127" s="987"/>
      <c r="Z127" s="987"/>
      <c r="AA127" s="988"/>
      <c r="AB127" s="989"/>
      <c r="AC127" s="2647"/>
      <c r="AD127" s="990"/>
      <c r="AE127" s="991" t="s">
        <v>24</v>
      </c>
      <c r="AF127" s="991"/>
      <c r="AG127" s="992" t="s">
        <v>650</v>
      </c>
      <c r="AH127" s="993">
        <v>3</v>
      </c>
      <c r="AI127" s="986"/>
      <c r="AJ127" s="986"/>
      <c r="AK127" s="986"/>
      <c r="AL127" s="986"/>
      <c r="AM127" s="986"/>
      <c r="AN127" s="986"/>
      <c r="AO127" s="986"/>
      <c r="AP127" s="986"/>
      <c r="AQ127" s="986"/>
      <c r="AR127" s="986"/>
      <c r="AS127" s="986"/>
      <c r="AT127" s="986"/>
      <c r="AU127" s="986"/>
      <c r="AV127" s="986"/>
      <c r="AW127" s="986"/>
      <c r="AX127" s="986"/>
      <c r="AY127" s="986"/>
      <c r="AZ127" s="986"/>
      <c r="BA127" s="986"/>
      <c r="BB127" s="986"/>
      <c r="BC127" s="986"/>
      <c r="BD127" s="986"/>
      <c r="BE127" s="986"/>
      <c r="BF127" s="986"/>
      <c r="BG127" s="986"/>
      <c r="BH127" s="986"/>
      <c r="BI127" s="986"/>
      <c r="BJ127" s="986"/>
      <c r="BK127" s="986"/>
      <c r="BL127" s="986"/>
      <c r="BM127" s="986"/>
      <c r="BN127" s="986"/>
      <c r="BO127" s="986"/>
      <c r="BP127" s="986"/>
      <c r="BQ127" s="986"/>
      <c r="BR127" s="986"/>
      <c r="BS127" s="986"/>
      <c r="BT127" s="986"/>
      <c r="BU127" s="986"/>
      <c r="BV127" s="987"/>
      <c r="BW127" s="987"/>
      <c r="BX127" s="987"/>
      <c r="BY127" s="987"/>
      <c r="BZ127" s="987"/>
      <c r="CA127" s="987"/>
      <c r="CB127" s="987"/>
      <c r="CC127" s="987"/>
      <c r="CD127" s="987"/>
      <c r="CE127" s="987"/>
    </row>
    <row s="31510" customFormat="1" customHeight="1" ht="15">
      <c r="A128" s="984"/>
      <c r="B128" s="985"/>
      <c r="C128" s="985"/>
      <c r="D128" s="2793"/>
      <c r="E128" s="2648" t="s">
        <v>605</v>
      </c>
      <c r="F128" s="2649"/>
      <c r="G128" s="2650"/>
      <c r="H128" s="2643" t="str">
        <f>IF(A127="","",INDEX(DIFFERENTIATION_UNMERGE_AREA,MATCH(A127,DIFFERENTIATION_ID_DIFF,0)))</f>
        <v/>
      </c>
      <c r="I128" s="2643"/>
      <c r="J128" s="2643"/>
      <c r="K128" s="2643"/>
      <c r="L128" s="2643"/>
      <c r="M128" s="2643"/>
      <c r="N128" s="2643"/>
      <c r="O128" s="2643"/>
      <c r="P128" s="2643"/>
      <c r="Q128" s="2643"/>
      <c r="R128" s="2643"/>
      <c r="S128" s="1080"/>
      <c r="T128" s="1077"/>
      <c r="U128" s="986"/>
      <c r="V128" s="986"/>
      <c r="W128" s="987"/>
      <c r="X128" s="987"/>
      <c r="Y128" s="987"/>
      <c r="Z128" s="987"/>
      <c r="AA128" s="988"/>
      <c r="AB128" s="989"/>
      <c r="AC128" s="2647"/>
      <c r="AD128" s="990"/>
      <c r="AE128" s="991"/>
      <c r="AF128" s="991"/>
      <c r="AG128" s="992"/>
      <c r="AH128" s="993"/>
      <c r="AI128" s="986"/>
      <c r="AJ128" s="986"/>
      <c r="AK128" s="986"/>
      <c r="AL128" s="986"/>
      <c r="AM128" s="986"/>
      <c r="AN128" s="986"/>
      <c r="AO128" s="986"/>
      <c r="AP128" s="986"/>
      <c r="AQ128" s="986"/>
      <c r="AR128" s="986"/>
      <c r="AS128" s="986"/>
      <c r="AT128" s="986"/>
      <c r="AU128" s="986"/>
      <c r="AV128" s="986"/>
      <c r="AW128" s="986"/>
      <c r="AX128" s="986"/>
      <c r="AY128" s="986"/>
      <c r="AZ128" s="986"/>
      <c r="BA128" s="986"/>
      <c r="BB128" s="986"/>
      <c r="BC128" s="986"/>
      <c r="BD128" s="986"/>
      <c r="BE128" s="986"/>
      <c r="BF128" s="986"/>
      <c r="BG128" s="986"/>
      <c r="BH128" s="986"/>
      <c r="BI128" s="986"/>
      <c r="BJ128" s="986"/>
      <c r="BK128" s="986"/>
      <c r="BL128" s="986"/>
      <c r="BM128" s="986"/>
      <c r="BN128" s="986"/>
      <c r="BO128" s="986"/>
      <c r="BP128" s="986"/>
      <c r="BQ128" s="986"/>
      <c r="BR128" s="986"/>
      <c r="BS128" s="986"/>
      <c r="BT128" s="986"/>
      <c r="BU128" s="986"/>
      <c r="BV128" s="987"/>
      <c r="BW128" s="987"/>
      <c r="BX128" s="987"/>
      <c r="BY128" s="987"/>
      <c r="BZ128" s="987"/>
      <c r="CA128" s="987"/>
      <c r="CB128" s="987"/>
      <c r="CC128" s="987"/>
      <c r="CD128" s="987"/>
      <c r="CE128" s="987"/>
    </row>
    <row s="31510" customFormat="1" customHeight="1" ht="15">
      <c r="A129" s="984"/>
      <c r="B129" s="985"/>
      <c r="C129" s="985"/>
      <c r="D129" s="2793"/>
      <c r="E129" s="2648" t="s">
        <v>606</v>
      </c>
      <c r="F129" s="2649"/>
      <c r="G129" s="2650"/>
      <c r="H129" s="2643" t="str">
        <f>IF(A127="","",INDEX(DIFFERENTIATION_UNMERGE_SYSTEM,MATCH(A127,DIFFERENTIATION_ID_DIFF,0)))</f>
        <v/>
      </c>
      <c r="I129" s="2643"/>
      <c r="J129" s="2643"/>
      <c r="K129" s="2643"/>
      <c r="L129" s="2643"/>
      <c r="M129" s="2643"/>
      <c r="N129" s="2643"/>
      <c r="O129" s="2643"/>
      <c r="P129" s="2643"/>
      <c r="Q129" s="2643"/>
      <c r="R129" s="2643"/>
      <c r="S129" s="1080"/>
      <c r="T129" s="1077"/>
      <c r="U129" s="986"/>
      <c r="V129" s="986"/>
      <c r="W129" s="987"/>
      <c r="X129" s="987"/>
      <c r="Y129" s="987"/>
      <c r="Z129" s="987"/>
      <c r="AA129" s="988"/>
      <c r="AB129" s="989"/>
      <c r="AC129" s="2647"/>
      <c r="AD129" s="990"/>
      <c r="AE129" s="991"/>
      <c r="AF129" s="991"/>
      <c r="AG129" s="992"/>
      <c r="AH129" s="993"/>
      <c r="AI129" s="986"/>
      <c r="AJ129" s="986"/>
      <c r="AK129" s="986"/>
      <c r="AL129" s="986"/>
      <c r="AM129" s="986"/>
      <c r="AN129" s="986"/>
      <c r="AO129" s="986"/>
      <c r="AP129" s="986"/>
      <c r="AQ129" s="986"/>
      <c r="AR129" s="986"/>
      <c r="AS129" s="986"/>
      <c r="AT129" s="986"/>
      <c r="AU129" s="986"/>
      <c r="AV129" s="986"/>
      <c r="AW129" s="986"/>
      <c r="AX129" s="986"/>
      <c r="AY129" s="986"/>
      <c r="AZ129" s="986"/>
      <c r="BA129" s="986"/>
      <c r="BB129" s="986"/>
      <c r="BC129" s="986"/>
      <c r="BD129" s="986"/>
      <c r="BE129" s="986"/>
      <c r="BF129" s="986"/>
      <c r="BG129" s="986"/>
      <c r="BH129" s="986"/>
      <c r="BI129" s="986"/>
      <c r="BJ129" s="986"/>
      <c r="BK129" s="986"/>
      <c r="BL129" s="986"/>
      <c r="BM129" s="986"/>
      <c r="BN129" s="986"/>
      <c r="BO129" s="986"/>
      <c r="BP129" s="986"/>
      <c r="BQ129" s="986"/>
      <c r="BR129" s="986"/>
      <c r="BS129" s="986"/>
      <c r="BT129" s="986"/>
      <c r="BU129" s="986"/>
      <c r="BV129" s="987"/>
      <c r="BW129" s="987"/>
      <c r="BX129" s="987"/>
      <c r="BY129" s="987"/>
      <c r="BZ129" s="987"/>
      <c r="CA129" s="987"/>
      <c r="CB129" s="987"/>
      <c r="CC129" s="987"/>
      <c r="CD129" s="987"/>
      <c r="CE129" s="987"/>
    </row>
    <row s="31510" customFormat="1" customHeight="1" ht="24.75">
      <c r="A130" s="2172"/>
      <c r="B130" s="1523"/>
      <c r="C130" s="773"/>
      <c r="D130" s="2793"/>
      <c r="E130" s="2645" t="s">
        <v>651</v>
      </c>
      <c r="F130" s="2645"/>
      <c r="G130" s="2645"/>
      <c r="H130" s="2645"/>
      <c r="I130" s="2645"/>
      <c r="J130" s="2645"/>
      <c r="K130" s="2645"/>
      <c r="L130" s="2645"/>
      <c r="M130" s="2645"/>
      <c r="N130" s="2645"/>
      <c r="O130" s="2645"/>
      <c r="P130" s="2645"/>
      <c r="Q130" s="919">
        <f>SUMIF(T131:T132,"i",Q131:Q132)</f>
        <v>0</v>
      </c>
      <c r="R130" s="1379"/>
      <c r="S130" s="2164" t="s">
        <v>652</v>
      </c>
      <c r="T130" s="1078" t="s">
        <v>653</v>
      </c>
      <c r="U130" s="2646">
        <v>1</v>
      </c>
      <c r="V130" s="2646" t="s">
        <v>616</v>
      </c>
      <c r="W130" s="1523"/>
      <c r="X130" s="1523"/>
      <c r="Y130" s="1523"/>
      <c r="Z130" s="1523"/>
      <c r="AA130" s="2002"/>
      <c r="AB130" s="1523"/>
      <c r="AC130" s="2647"/>
      <c r="AD130" s="990"/>
      <c r="AE130" s="1523"/>
      <c r="AF130" s="1523"/>
      <c r="AG130" s="2002"/>
      <c r="AH130" s="2002"/>
      <c r="AI130" s="2002"/>
      <c r="AJ130" s="2002"/>
      <c r="AK130" s="2002"/>
      <c r="AL130" s="2002"/>
      <c r="AM130" s="2002"/>
      <c r="AN130" s="2002"/>
      <c r="AO130" s="2002"/>
      <c r="AP130" s="2002"/>
      <c r="AQ130" s="2002"/>
      <c r="AR130" s="2002"/>
      <c r="AS130" s="2002"/>
      <c r="AT130" s="2002"/>
      <c r="AU130" s="2002"/>
      <c r="AV130" s="2002"/>
      <c r="AW130" s="2002"/>
      <c r="AX130" s="2002"/>
      <c r="AY130" s="2002"/>
      <c r="AZ130" s="2002"/>
      <c r="BA130" s="2002"/>
      <c r="BB130" s="2002"/>
      <c r="BC130" s="2002"/>
      <c r="BD130" s="2002"/>
      <c r="BE130" s="2002"/>
      <c r="BF130" s="2002"/>
      <c r="BG130" s="2002"/>
      <c r="BH130" s="2002"/>
      <c r="BI130" s="2002"/>
      <c r="BJ130" s="2002"/>
      <c r="BK130" s="2002"/>
      <c r="BL130" s="2002"/>
      <c r="BM130" s="2002"/>
      <c r="BN130" s="2002"/>
      <c r="BO130" s="2002"/>
      <c r="BP130" s="2002"/>
      <c r="BQ130" s="2002"/>
      <c r="BR130" s="2002"/>
      <c r="BS130" s="2002"/>
      <c r="BT130" s="2002"/>
      <c r="BU130" s="2002"/>
      <c r="BV130" s="1523"/>
      <c r="BW130" s="1523"/>
      <c r="BX130" s="1523"/>
      <c r="BY130" s="1523"/>
      <c r="BZ130" s="1523"/>
      <c r="CA130" s="1523"/>
      <c r="CB130" s="1523"/>
      <c r="CC130" s="1523"/>
      <c r="CD130" s="1523"/>
      <c r="CE130" s="1523"/>
    </row>
    <row s="31510" customFormat="1" customHeight="1" ht="11.25" hidden="1">
      <c r="A131" s="2159"/>
      <c r="B131" s="2002"/>
      <c r="C131" s="2002"/>
      <c r="D131" s="2793"/>
      <c r="E131" s="996"/>
      <c r="F131" s="996">
        <v>0</v>
      </c>
      <c r="G131" s="996"/>
      <c r="H131" s="996"/>
      <c r="I131" s="996"/>
      <c r="J131" s="996"/>
      <c r="K131" s="996"/>
      <c r="L131" s="996"/>
      <c r="M131" s="996"/>
      <c r="N131" s="996"/>
      <c r="O131" s="996"/>
      <c r="P131" s="996"/>
      <c r="Q131" s="996"/>
      <c r="R131" s="996"/>
      <c r="S131" s="997"/>
      <c r="T131" s="1079"/>
      <c r="U131" s="2646"/>
      <c r="V131" s="2646"/>
      <c r="W131" s="2002"/>
      <c r="X131" s="2002"/>
      <c r="Y131" s="2002"/>
      <c r="Z131" s="2002"/>
      <c r="AA131" s="2002"/>
      <c r="AB131" s="1523"/>
      <c r="AC131" s="2647"/>
      <c r="AD131" s="990"/>
      <c r="AE131" s="1523"/>
      <c r="AF131" s="1523"/>
      <c r="AG131" s="2002"/>
      <c r="AH131" s="2002"/>
      <c r="AI131" s="2002"/>
      <c r="AJ131" s="2002"/>
      <c r="AK131" s="2002"/>
      <c r="AL131" s="2002"/>
      <c r="AM131" s="2002"/>
      <c r="AN131" s="2002"/>
      <c r="AO131" s="2002"/>
      <c r="AP131" s="2002"/>
      <c r="AQ131" s="2002"/>
      <c r="AR131" s="2002"/>
      <c r="AS131" s="2002"/>
      <c r="AT131" s="2002"/>
      <c r="AU131" s="2002"/>
      <c r="AV131" s="2002"/>
      <c r="AW131" s="2002"/>
      <c r="AX131" s="2002"/>
      <c r="AY131" s="2002"/>
      <c r="AZ131" s="2002"/>
      <c r="BA131" s="2002"/>
      <c r="BB131" s="2002"/>
      <c r="BC131" s="2002"/>
      <c r="BD131" s="2002"/>
      <c r="BE131" s="2002"/>
      <c r="BF131" s="2002"/>
      <c r="BG131" s="2002"/>
      <c r="BH131" s="2002"/>
      <c r="BI131" s="2002"/>
      <c r="BJ131" s="2002"/>
      <c r="BK131" s="2002"/>
      <c r="BL131" s="2002"/>
      <c r="BM131" s="2002"/>
      <c r="BN131" s="2002"/>
      <c r="BO131" s="2002"/>
      <c r="BP131" s="2002"/>
      <c r="BQ131" s="2002"/>
      <c r="BR131" s="2002"/>
      <c r="BS131" s="2002"/>
      <c r="BT131" s="2002"/>
      <c r="BU131" s="2002"/>
      <c r="BV131" s="2002"/>
      <c r="BW131" s="2002"/>
      <c r="BX131" s="2002"/>
      <c r="BY131" s="2002"/>
      <c r="BZ131" s="2002"/>
      <c r="CA131" s="2002"/>
      <c r="CB131" s="2002"/>
      <c r="CC131" s="2002"/>
      <c r="CD131" s="2002"/>
      <c r="CE131" s="2002"/>
    </row>
    <row s="31510" customFormat="1" customHeight="1" ht="11.25">
      <c r="A132" s="2172"/>
      <c r="B132" s="1523"/>
      <c r="C132" s="773"/>
      <c r="D132" s="2793"/>
      <c r="E132" s="1010" t="s">
        <v>24</v>
      </c>
      <c r="F132" s="1531" t="s">
        <v>24</v>
      </c>
      <c r="G132" s="1531" t="s">
        <v>1900</v>
      </c>
      <c r="H132" s="1012" t="s">
        <v>24</v>
      </c>
      <c r="I132" s="1012"/>
      <c r="J132" s="1012"/>
      <c r="K132" s="1012"/>
      <c r="L132" s="1012"/>
      <c r="M132" s="1012"/>
      <c r="N132" s="1012"/>
      <c r="O132" s="1012"/>
      <c r="P132" s="1012"/>
      <c r="Q132" s="1012"/>
      <c r="R132" s="1013"/>
      <c r="S132" s="1014"/>
      <c r="T132" s="1079"/>
      <c r="U132" s="2646"/>
      <c r="V132" s="2646"/>
      <c r="W132" s="1523"/>
      <c r="X132" s="1523"/>
      <c r="Y132" s="1523"/>
      <c r="Z132" s="1523"/>
      <c r="AA132" s="2002"/>
      <c r="AB132" s="1523"/>
      <c r="AC132" s="2647"/>
      <c r="AD132" s="990"/>
      <c r="AE132" s="1523"/>
      <c r="AF132" s="1523"/>
      <c r="AG132" s="2002"/>
      <c r="AH132" s="2002"/>
      <c r="AI132" s="2002"/>
      <c r="AJ132" s="2002"/>
      <c r="AK132" s="2002"/>
      <c r="AL132" s="2002"/>
      <c r="AM132" s="2002"/>
      <c r="AN132" s="2002"/>
      <c r="AO132" s="2002"/>
      <c r="AP132" s="2002"/>
      <c r="AQ132" s="2002"/>
      <c r="AR132" s="2002"/>
      <c r="AS132" s="2002"/>
      <c r="AT132" s="2002"/>
      <c r="AU132" s="2002"/>
      <c r="AV132" s="2002"/>
      <c r="AW132" s="2002"/>
      <c r="AX132" s="2002"/>
      <c r="AY132" s="2002"/>
      <c r="AZ132" s="2002"/>
      <c r="BA132" s="2002"/>
      <c r="BB132" s="2002"/>
      <c r="BC132" s="2002"/>
      <c r="BD132" s="2002"/>
      <c r="BE132" s="2002"/>
      <c r="BF132" s="2002"/>
      <c r="BG132" s="2002"/>
      <c r="BH132" s="2002"/>
      <c r="BI132" s="2002"/>
      <c r="BJ132" s="2002"/>
      <c r="BK132" s="2002"/>
      <c r="BL132" s="2002"/>
      <c r="BM132" s="2002"/>
      <c r="BN132" s="2002"/>
      <c r="BO132" s="2002"/>
      <c r="BP132" s="2002"/>
      <c r="BQ132" s="2002"/>
      <c r="BR132" s="2002"/>
      <c r="BS132" s="2002"/>
      <c r="BT132" s="2002"/>
      <c r="BU132" s="2002"/>
      <c r="BV132" s="1523"/>
      <c r="BW132" s="1523"/>
      <c r="BX132" s="1523"/>
      <c r="BY132" s="1523"/>
      <c r="BZ132" s="1523"/>
      <c r="CA132" s="1523"/>
      <c r="CB132" s="1523"/>
      <c r="CC132" s="1523"/>
      <c r="CD132" s="1523"/>
      <c r="CE132" s="1523"/>
    </row>
    <row s="31846" customFormat="1" customHeight="1" ht="5.25" hidden="1">
      <c r="A133" s="2159"/>
      <c r="B133" s="2002"/>
      <c r="C133" s="2002"/>
      <c r="D133" s="2793"/>
      <c r="E133" s="1401"/>
      <c r="F133" s="1401"/>
      <c r="G133" s="1401"/>
      <c r="H133" s="1401"/>
      <c r="I133" s="1401"/>
      <c r="J133" s="1401"/>
      <c r="K133" s="1401"/>
      <c r="L133" s="1401"/>
      <c r="M133" s="1401"/>
      <c r="N133" s="1401"/>
      <c r="O133" s="1401"/>
      <c r="P133" s="1401"/>
      <c r="Q133" s="1402"/>
      <c r="R133" s="1403"/>
      <c r="S133" s="1404"/>
      <c r="T133" s="1078" t="s">
        <v>653</v>
      </c>
      <c r="U133" s="2646">
        <v>1</v>
      </c>
      <c r="V133" s="2646" t="s">
        <v>616</v>
      </c>
      <c r="W133" s="2002"/>
      <c r="X133" s="2002"/>
      <c r="Y133" s="2002"/>
      <c r="Z133" s="2002"/>
      <c r="AA133" s="2002"/>
      <c r="AB133" s="2002"/>
      <c r="AC133" s="1399"/>
      <c r="AD133" s="1400"/>
      <c r="AE133" s="2002"/>
      <c r="AF133" s="2002"/>
      <c r="AG133" s="2002"/>
      <c r="AH133" s="2002"/>
      <c r="AI133" s="2002"/>
      <c r="AJ133" s="2002"/>
      <c r="AK133" s="2002"/>
      <c r="AL133" s="2002"/>
      <c r="AM133" s="2002"/>
      <c r="AN133" s="2002"/>
      <c r="AO133" s="2002"/>
      <c r="AP133" s="2002"/>
      <c r="AQ133" s="2002"/>
      <c r="AR133" s="2002"/>
      <c r="AS133" s="2002"/>
      <c r="AT133" s="2002"/>
      <c r="AU133" s="2002"/>
      <c r="AV133" s="2002"/>
      <c r="AW133" s="2002"/>
      <c r="AX133" s="2002"/>
      <c r="AY133" s="2002"/>
      <c r="AZ133" s="2002"/>
      <c r="BA133" s="2002"/>
      <c r="BB133" s="2002"/>
      <c r="BC133" s="2002"/>
      <c r="BD133" s="2002"/>
      <c r="BE133" s="2002"/>
      <c r="BF133" s="2002"/>
      <c r="BG133" s="2002"/>
      <c r="BH133" s="2002"/>
      <c r="BI133" s="2002"/>
      <c r="BJ133" s="2002"/>
      <c r="BK133" s="2002"/>
      <c r="BL133" s="2002"/>
      <c r="BM133" s="2002"/>
      <c r="BN133" s="2002"/>
      <c r="BO133" s="2002"/>
      <c r="BP133" s="2002"/>
      <c r="BQ133" s="2002"/>
      <c r="BR133" s="2002"/>
      <c r="BS133" s="2002"/>
      <c r="BT133" s="2002"/>
      <c r="BU133" s="2002"/>
      <c r="BV133" s="2002"/>
      <c r="BW133" s="2002"/>
      <c r="BX133" s="2002"/>
      <c r="BY133" s="2002"/>
      <c r="BZ133" s="2002"/>
      <c r="CA133" s="2002"/>
      <c r="CB133" s="2002"/>
      <c r="CC133" s="2002"/>
      <c r="CD133" s="2002"/>
      <c r="CE133" s="2002"/>
    </row>
    <row s="31846" customFormat="1" customHeight="1" ht="5.25" hidden="1">
      <c r="A134" s="2159"/>
      <c r="B134" s="2002"/>
      <c r="C134" s="2002"/>
      <c r="D134" s="2793"/>
      <c r="E134" s="996"/>
      <c r="F134" s="996"/>
      <c r="G134" s="996"/>
      <c r="H134" s="996"/>
      <c r="I134" s="996"/>
      <c r="J134" s="996"/>
      <c r="K134" s="996"/>
      <c r="L134" s="996"/>
      <c r="M134" s="996"/>
      <c r="N134" s="996"/>
      <c r="O134" s="996"/>
      <c r="P134" s="996"/>
      <c r="Q134" s="996"/>
      <c r="R134" s="996"/>
      <c r="S134" s="997"/>
      <c r="T134" s="1079"/>
      <c r="U134" s="2646"/>
      <c r="V134" s="2646"/>
      <c r="W134" s="2002"/>
      <c r="X134" s="2002"/>
      <c r="Y134" s="2002"/>
      <c r="Z134" s="2002"/>
      <c r="AA134" s="2002"/>
      <c r="AB134" s="2002"/>
      <c r="AC134" s="1399"/>
      <c r="AD134" s="1400"/>
      <c r="AE134" s="2002"/>
      <c r="AF134" s="2002"/>
      <c r="AG134" s="2002"/>
      <c r="AH134" s="2002"/>
      <c r="AI134" s="2002"/>
      <c r="AJ134" s="2002"/>
      <c r="AK134" s="2002"/>
      <c r="AL134" s="2002"/>
      <c r="AM134" s="2002"/>
      <c r="AN134" s="2002"/>
      <c r="AO134" s="2002"/>
      <c r="AP134" s="2002"/>
      <c r="AQ134" s="2002"/>
      <c r="AR134" s="2002"/>
      <c r="AS134" s="2002"/>
      <c r="AT134" s="2002"/>
      <c r="AU134" s="2002"/>
      <c r="AV134" s="2002"/>
      <c r="AW134" s="2002"/>
      <c r="AX134" s="2002"/>
      <c r="AY134" s="2002"/>
      <c r="AZ134" s="2002"/>
      <c r="BA134" s="2002"/>
      <c r="BB134" s="2002"/>
      <c r="BC134" s="2002"/>
      <c r="BD134" s="2002"/>
      <c r="BE134" s="2002"/>
      <c r="BF134" s="2002"/>
      <c r="BG134" s="2002"/>
      <c r="BH134" s="2002"/>
      <c r="BI134" s="2002"/>
      <c r="BJ134" s="2002"/>
      <c r="BK134" s="2002"/>
      <c r="BL134" s="2002"/>
      <c r="BM134" s="2002"/>
      <c r="BN134" s="2002"/>
      <c r="BO134" s="2002"/>
      <c r="BP134" s="2002"/>
      <c r="BQ134" s="2002"/>
      <c r="BR134" s="2002"/>
      <c r="BS134" s="2002"/>
      <c r="BT134" s="2002"/>
      <c r="BU134" s="2002"/>
      <c r="BV134" s="2002"/>
      <c r="BW134" s="2002"/>
      <c r="BX134" s="2002"/>
      <c r="BY134" s="2002"/>
      <c r="BZ134" s="2002"/>
      <c r="CA134" s="2002"/>
      <c r="CB134" s="2002"/>
      <c r="CC134" s="2002"/>
      <c r="CD134" s="2002"/>
      <c r="CE134" s="2002"/>
    </row>
    <row s="31846" customFormat="1" customHeight="1" ht="5.25" hidden="1">
      <c r="A135" s="2159"/>
      <c r="B135" s="2002"/>
      <c r="C135" s="2002"/>
      <c r="D135" s="2794"/>
      <c r="E135" s="1405"/>
      <c r="F135" s="1406"/>
      <c r="G135" s="1406"/>
      <c r="H135" s="1407"/>
      <c r="I135" s="1407"/>
      <c r="J135" s="1407"/>
      <c r="K135" s="1407"/>
      <c r="L135" s="1407"/>
      <c r="M135" s="1407"/>
      <c r="N135" s="1407"/>
      <c r="O135" s="1407"/>
      <c r="P135" s="1407"/>
      <c r="Q135" s="1407"/>
      <c r="R135" s="1308"/>
      <c r="S135" s="1408"/>
      <c r="T135" s="1079"/>
      <c r="U135" s="2646"/>
      <c r="V135" s="2646"/>
      <c r="W135" s="2002"/>
      <c r="X135" s="2002"/>
      <c r="Y135" s="2002"/>
      <c r="Z135" s="2002"/>
      <c r="AA135" s="2002"/>
      <c r="AB135" s="2002"/>
      <c r="AC135" s="1399"/>
      <c r="AD135" s="1400"/>
      <c r="AE135" s="2002"/>
      <c r="AF135" s="2002"/>
      <c r="AG135" s="2002"/>
      <c r="AH135" s="2002"/>
      <c r="AI135" s="2002"/>
      <c r="AJ135" s="2002"/>
      <c r="AK135" s="2002"/>
      <c r="AL135" s="2002"/>
      <c r="AM135" s="2002"/>
      <c r="AN135" s="2002"/>
      <c r="AO135" s="2002"/>
      <c r="AP135" s="2002"/>
      <c r="AQ135" s="2002"/>
      <c r="AR135" s="2002"/>
      <c r="AS135" s="2002"/>
      <c r="AT135" s="2002"/>
      <c r="AU135" s="2002"/>
      <c r="AV135" s="2002"/>
      <c r="AW135" s="2002"/>
      <c r="AX135" s="2002"/>
      <c r="AY135" s="2002"/>
      <c r="AZ135" s="2002"/>
      <c r="BA135" s="2002"/>
      <c r="BB135" s="2002"/>
      <c r="BC135" s="2002"/>
      <c r="BD135" s="2002"/>
      <c r="BE135" s="2002"/>
      <c r="BF135" s="2002"/>
      <c r="BG135" s="2002"/>
      <c r="BH135" s="2002"/>
      <c r="BI135" s="2002"/>
      <c r="BJ135" s="2002"/>
      <c r="BK135" s="2002"/>
      <c r="BL135" s="2002"/>
      <c r="BM135" s="2002"/>
      <c r="BN135" s="2002"/>
      <c r="BO135" s="2002"/>
      <c r="BP135" s="2002"/>
      <c r="BQ135" s="2002"/>
      <c r="BR135" s="2002"/>
      <c r="BS135" s="2002"/>
      <c r="BT135" s="2002"/>
      <c r="BU135" s="2002"/>
      <c r="BV135" s="2002"/>
      <c r="BW135" s="2002"/>
      <c r="BX135" s="2002"/>
      <c r="BY135" s="2002"/>
      <c r="BZ135" s="2002"/>
      <c r="CA135" s="2002"/>
      <c r="CB135" s="2002"/>
      <c r="CC135" s="2002"/>
      <c r="CD135" s="2002"/>
      <c r="CE135" s="2002"/>
    </row>
    <row customHeight="1" ht="17.25">
      <c r="D136" s="2202"/>
    </row>
    <row s="37744" customFormat="1" customHeight="1" ht="11.25">
      <c r="A137" s="2181" t="s">
        <v>1902</v>
      </c>
    </row>
    <row r="139" s="31510" customFormat="1" customHeight="1" ht="45">
      <c r="A139" s="2172"/>
      <c r="B139" s="1523"/>
      <c r="C139" s="773"/>
      <c r="D139" s="450"/>
      <c r="E139" s="2798"/>
      <c r="F139" s="2403" t="s">
        <v>118</v>
      </c>
      <c r="G139" s="2801" t="s">
        <v>24</v>
      </c>
      <c r="H139" s="650"/>
      <c r="I139" s="998" t="s">
        <v>118</v>
      </c>
      <c r="J139" s="2173" t="s">
        <v>1903</v>
      </c>
      <c r="K139" s="999" t="s">
        <v>587</v>
      </c>
      <c r="L139" s="2493" t="s">
        <v>587</v>
      </c>
      <c r="M139" s="2803"/>
      <c r="N139" s="999" t="s">
        <v>587</v>
      </c>
      <c r="O139" s="999" t="s">
        <v>587</v>
      </c>
      <c r="P139" s="999" t="s">
        <v>587</v>
      </c>
      <c r="Q139" s="1000">
        <f>SUM(Q140:Q142)</f>
        <v>0</v>
      </c>
      <c r="R139" s="1000">
        <f>IF(R136=0,0,(Q136/R136)*100)</f>
        <v>0</v>
      </c>
      <c r="S139" s="2462"/>
      <c r="T139" s="1078" t="s">
        <v>653</v>
      </c>
      <c r="U139" s="450"/>
      <c r="V139" s="450"/>
      <c r="AC139" s="450"/>
    </row>
    <row s="31510" customFormat="1" customHeight="1" ht="11.25">
      <c r="A140" s="2172"/>
      <c r="B140" s="1523"/>
      <c r="C140" s="773"/>
      <c r="D140" s="450"/>
      <c r="E140" s="2799"/>
      <c r="F140" s="2403"/>
      <c r="G140" s="2801"/>
      <c r="H140" s="2392"/>
      <c r="I140" s="2787" t="s">
        <v>980</v>
      </c>
      <c r="J140" s="2795"/>
      <c r="K140" s="2796"/>
      <c r="L140" s="1001"/>
      <c r="M140" s="1002" t="s">
        <v>118</v>
      </c>
      <c r="N140" s="2161"/>
      <c r="O140" s="1003"/>
      <c r="P140" s="1004"/>
      <c r="Q140" s="1003"/>
      <c r="R140" s="1005">
        <v>0</v>
      </c>
      <c r="S140" s="2462"/>
      <c r="T140" s="1078"/>
      <c r="U140" s="450"/>
      <c r="V140" s="450"/>
      <c r="AC140" s="450"/>
    </row>
    <row s="31510" customFormat="1" customHeight="1" ht="11.25">
      <c r="A141" s="2172"/>
      <c r="B141" s="1523"/>
      <c r="C141" s="773"/>
      <c r="D141" s="450"/>
      <c r="E141" s="2799"/>
      <c r="F141" s="2403"/>
      <c r="G141" s="2801"/>
      <c r="H141" s="2392"/>
      <c r="I141" s="2787"/>
      <c r="J141" s="2795"/>
      <c r="K141" s="2797"/>
      <c r="L141" s="1006"/>
      <c r="M141" s="1007"/>
      <c r="N141" s="1008" t="s">
        <v>1904</v>
      </c>
      <c r="O141" s="1008"/>
      <c r="P141" s="1008"/>
      <c r="Q141" s="1008"/>
      <c r="R141" s="1009"/>
      <c r="S141" s="2462"/>
      <c r="T141" s="1078"/>
      <c r="U141" s="450"/>
      <c r="V141" s="450"/>
      <c r="AC141" s="450"/>
    </row>
    <row s="31510" customFormat="1" customHeight="1" ht="11.25">
      <c r="A142" s="2172"/>
      <c r="B142" s="1523"/>
      <c r="C142" s="773"/>
      <c r="D142" s="450"/>
      <c r="E142" s="2800"/>
      <c r="F142" s="2403"/>
      <c r="G142" s="2802"/>
      <c r="H142" s="1006" t="s">
        <v>24</v>
      </c>
      <c r="I142" s="1007"/>
      <c r="J142" s="1008" t="s">
        <v>1905</v>
      </c>
      <c r="K142" s="1008"/>
      <c r="L142" s="1008"/>
      <c r="M142" s="1008"/>
      <c r="N142" s="1008"/>
      <c r="O142" s="1008"/>
      <c r="P142" s="1008"/>
      <c r="Q142" s="1008"/>
      <c r="R142" s="1009"/>
      <c r="S142" s="2462"/>
      <c r="T142" s="1078"/>
      <c r="U142" s="450"/>
      <c r="V142" s="450"/>
      <c r="AC142" s="450"/>
    </row>
    <row r="147" s="31510" customFormat="1" customHeight="1" ht="11.25">
      <c r="A147" s="2172"/>
      <c r="B147" s="1523"/>
      <c r="C147" s="773"/>
      <c r="D147" s="450"/>
      <c r="E147" s="2196"/>
      <c r="F147" s="2196"/>
      <c r="G147" s="2196"/>
      <c r="H147" s="2392"/>
      <c r="I147" s="2787" t="s">
        <v>980</v>
      </c>
      <c r="J147" s="2795"/>
      <c r="K147" s="2796"/>
      <c r="L147" s="1001"/>
      <c r="M147" s="1002" t="s">
        <v>118</v>
      </c>
      <c r="N147" s="2161"/>
      <c r="O147" s="1003"/>
      <c r="P147" s="1004"/>
      <c r="Q147" s="1003"/>
      <c r="R147" s="1005">
        <v>0</v>
      </c>
      <c r="S147" s="450"/>
      <c r="T147" s="1078"/>
      <c r="U147" s="450"/>
      <c r="V147" s="450"/>
      <c r="AC147" s="450"/>
    </row>
    <row s="31510" customFormat="1" customHeight="1" ht="11.25">
      <c r="A148" s="2172"/>
      <c r="B148" s="1523"/>
      <c r="C148" s="773"/>
      <c r="D148" s="450"/>
      <c r="E148" s="2196"/>
      <c r="F148" s="2196"/>
      <c r="G148" s="2196"/>
      <c r="H148" s="2392"/>
      <c r="I148" s="2787"/>
      <c r="J148" s="2795"/>
      <c r="K148" s="2797"/>
      <c r="L148" s="1006"/>
      <c r="M148" s="1007"/>
      <c r="N148" s="1008" t="s">
        <v>1904</v>
      </c>
      <c r="O148" s="1008"/>
      <c r="P148" s="1008"/>
      <c r="Q148" s="1008"/>
      <c r="R148" s="1009"/>
      <c r="S148" s="450"/>
      <c r="T148" s="1078"/>
      <c r="U148" s="450"/>
      <c r="V148" s="450"/>
      <c r="AC148" s="450"/>
    </row>
    <row r="150" s="31510" customFormat="1" customHeight="1" ht="11.25">
      <c r="A150" s="2172"/>
      <c r="B150" s="1523"/>
      <c r="C150" s="773"/>
      <c r="D150" s="450"/>
      <c r="E150" s="2203"/>
      <c r="F150" s="2201"/>
      <c r="G150" s="2201"/>
      <c r="H150" s="2204"/>
      <c r="I150" s="2196"/>
      <c r="J150" s="2197"/>
      <c r="K150" s="2197"/>
      <c r="L150" s="1001"/>
      <c r="M150" s="1002" t="s">
        <v>118</v>
      </c>
      <c r="N150" s="2161"/>
      <c r="O150" s="1003"/>
      <c r="P150" s="1004"/>
      <c r="Q150" s="1003"/>
      <c r="R150" s="1005">
        <v>0</v>
      </c>
      <c r="S150" s="450"/>
      <c r="T150" s="1078"/>
      <c r="U150" s="450"/>
      <c r="V150" s="450"/>
      <c r="AC150" s="450"/>
    </row>
    <row r="152" s="37744" customFormat="1" customHeight="1" ht="17.25">
      <c r="A152" s="2181" t="s">
        <v>1906</v>
      </c>
    </row>
    <row customHeight="1" ht="17.25">
      <c r="G153" s="2205"/>
      <c r="H153" s="2205"/>
      <c r="I153" s="2205"/>
      <c r="M153" s="2201"/>
    </row>
    <row s="37936" customFormat="1" customHeight="1" ht="17.25">
      <c r="A154" s="2206"/>
      <c r="C154" s="2208"/>
      <c r="D154" s="2784"/>
      <c r="E154" s="2418"/>
      <c r="F154" s="2420"/>
      <c r="G154" s="2790"/>
      <c r="H154" s="2784"/>
      <c r="I154" s="2784">
        <v>1</v>
      </c>
      <c r="J154" s="2810"/>
      <c r="K154" s="2465" t="s">
        <v>66</v>
      </c>
      <c r="L154" s="2403"/>
      <c r="M154" s="2403" t="s">
        <v>118</v>
      </c>
      <c r="N154" s="2808" t="str">
        <f>IF(Z154="","",INDEX(TERRITORY_MR_LIST,MATCH(Z154,TERRITORY_LIST_ID,0)))</f>
        <v/>
      </c>
      <c r="O154" s="2465" t="s">
        <v>66</v>
      </c>
      <c r="P154" s="2403"/>
      <c r="Q154" s="2403" t="s">
        <v>118</v>
      </c>
      <c r="R154" s="2789" t="s">
        <v>24</v>
      </c>
      <c r="S154" s="2402" t="s">
        <v>66</v>
      </c>
      <c r="T154" s="2177"/>
      <c r="U154" s="2177" t="s">
        <v>118</v>
      </c>
      <c r="V154" s="2209" t="s">
        <v>24</v>
      </c>
      <c r="W154" s="2167"/>
      <c r="Y154" s="1633"/>
      <c r="Z154" s="1633"/>
      <c r="AA154" s="1633"/>
      <c r="AB154" s="1633"/>
      <c r="AC154" s="1633"/>
      <c r="AD154" s="1633"/>
      <c r="AE154" s="1633"/>
      <c r="AF154" s="1633"/>
      <c r="AG154" s="1633"/>
      <c r="AH154" s="1633"/>
      <c r="AI154" s="1633"/>
      <c r="AJ154" s="1633"/>
      <c r="AK154" s="1633"/>
      <c r="AL154" s="2210"/>
      <c r="AM154" s="2210"/>
      <c r="AN154" s="1633"/>
      <c r="AO154" s="1633"/>
      <c r="AP154" s="1633"/>
      <c r="AQ154" s="1633"/>
    </row>
    <row s="37936" customFormat="1" customHeight="1" ht="17.25">
      <c r="A155" s="2206"/>
      <c r="C155" s="2211"/>
      <c r="D155" s="2784"/>
      <c r="E155" s="2418"/>
      <c r="F155" s="2421"/>
      <c r="G155" s="2790"/>
      <c r="H155" s="2784"/>
      <c r="I155" s="2784"/>
      <c r="J155" s="2810"/>
      <c r="K155" s="2466"/>
      <c r="L155" s="2403"/>
      <c r="M155" s="2403"/>
      <c r="N155" s="2808"/>
      <c r="O155" s="2466"/>
      <c r="P155" s="2403"/>
      <c r="Q155" s="2403"/>
      <c r="R155" s="2789"/>
      <c r="S155" s="2402"/>
      <c r="T155" s="678"/>
      <c r="U155" s="679"/>
      <c r="V155" s="679" t="s">
        <v>455</v>
      </c>
      <c r="W155" s="680"/>
      <c r="Y155" s="1625"/>
      <c r="Z155" s="1625"/>
      <c r="AA155" s="1625"/>
      <c r="AB155" s="1625"/>
      <c r="AC155" s="1625"/>
      <c r="AD155" s="1625"/>
      <c r="AE155" s="1625"/>
      <c r="AF155" s="1625"/>
      <c r="AG155" s="1625"/>
      <c r="AH155" s="1625"/>
      <c r="AI155" s="1625"/>
      <c r="AJ155" s="1625"/>
      <c r="AK155" s="1625"/>
    </row>
    <row s="37936" customFormat="1" customHeight="1" ht="17.25">
      <c r="A156" s="2206"/>
      <c r="C156" s="2211"/>
      <c r="D156" s="2785"/>
      <c r="E156" s="2807"/>
      <c r="F156" s="2421"/>
      <c r="G156" s="2791"/>
      <c r="H156" s="2785"/>
      <c r="I156" s="2785"/>
      <c r="J156" s="2811"/>
      <c r="K156" s="2466"/>
      <c r="L156" s="2785"/>
      <c r="M156" s="2785"/>
      <c r="N156" s="2809"/>
      <c r="O156" s="2407"/>
      <c r="P156" s="678"/>
      <c r="Q156" s="679"/>
      <c r="R156" s="679" t="s">
        <v>262</v>
      </c>
      <c r="S156" s="2212"/>
      <c r="T156" s="2212"/>
      <c r="U156" s="2212"/>
      <c r="V156" s="2212"/>
      <c r="W156" s="680"/>
      <c r="Y156" s="1625"/>
      <c r="Z156" s="1625"/>
      <c r="AA156" s="1625"/>
      <c r="AB156" s="1625"/>
      <c r="AC156" s="1625"/>
      <c r="AD156" s="1625"/>
      <c r="AE156" s="1625"/>
      <c r="AF156" s="1625"/>
      <c r="AG156" s="1625"/>
      <c r="AH156" s="1625"/>
      <c r="AI156" s="1625"/>
      <c r="AJ156" s="1625"/>
      <c r="AK156" s="1625"/>
    </row>
    <row s="37936" customFormat="1" customHeight="1" ht="17.25">
      <c r="A157" s="2206"/>
      <c r="C157" s="2211"/>
      <c r="D157" s="2785"/>
      <c r="E157" s="2807"/>
      <c r="F157" s="2421"/>
      <c r="G157" s="2791"/>
      <c r="H157" s="2785"/>
      <c r="I157" s="2785"/>
      <c r="J157" s="2811"/>
      <c r="K157" s="2407"/>
      <c r="L157" s="678"/>
      <c r="M157" s="679"/>
      <c r="N157" s="679" t="s">
        <v>270</v>
      </c>
      <c r="O157" s="679"/>
      <c r="P157" s="679"/>
      <c r="Q157" s="679"/>
      <c r="R157" s="679"/>
      <c r="S157" s="2212"/>
      <c r="T157" s="2212"/>
      <c r="U157" s="2212"/>
      <c r="V157" s="2212"/>
      <c r="W157" s="680"/>
      <c r="Y157" s="1625"/>
      <c r="Z157" s="1625"/>
      <c r="AA157" s="1625"/>
      <c r="AB157" s="1625"/>
      <c r="AC157" s="1625"/>
      <c r="AD157" s="1625"/>
      <c r="AE157" s="1625"/>
      <c r="AF157" s="1625"/>
      <c r="AG157" s="1625"/>
      <c r="AH157" s="1625"/>
      <c r="AI157" s="1625"/>
      <c r="AJ157" s="1625"/>
      <c r="AK157" s="1625"/>
    </row>
    <row s="37936" customFormat="1" customHeight="1" ht="17.25">
      <c r="A158" s="2206"/>
      <c r="C158" s="2211"/>
      <c r="D158" s="2785"/>
      <c r="E158" s="2807"/>
      <c r="F158" s="2422"/>
      <c r="G158" s="2791"/>
      <c r="H158" s="678"/>
      <c r="I158" s="679"/>
      <c r="J158" s="679" t="s">
        <v>294</v>
      </c>
      <c r="K158" s="679"/>
      <c r="L158" s="679"/>
      <c r="M158" s="679"/>
      <c r="N158" s="679"/>
      <c r="O158" s="679"/>
      <c r="P158" s="679"/>
      <c r="Q158" s="679"/>
      <c r="R158" s="679"/>
      <c r="S158" s="2212"/>
      <c r="T158" s="2212"/>
      <c r="U158" s="2212"/>
      <c r="V158" s="2212"/>
      <c r="W158" s="680"/>
      <c r="Y158" s="1625"/>
      <c r="Z158" s="1625"/>
      <c r="AA158" s="1625"/>
      <c r="AB158" s="1625"/>
      <c r="AC158" s="1625"/>
      <c r="AD158" s="1625"/>
      <c r="AE158" s="1625"/>
      <c r="AF158" s="1625"/>
      <c r="AG158" s="1625"/>
      <c r="AH158" s="1625"/>
      <c r="AI158" s="1625"/>
      <c r="AJ158" s="1625"/>
      <c r="AK158" s="1625"/>
    </row>
    <row customHeight="1" ht="17.25">
      <c r="G159" s="2205"/>
      <c r="H159" s="2205"/>
      <c r="I159" s="2205"/>
      <c r="M159" s="2201"/>
    </row>
    <row s="37936" customFormat="1" customHeight="1" ht="17.25">
      <c r="A160" s="2206"/>
      <c r="C160" s="2208"/>
      <c r="D160" s="2196"/>
      <c r="E160" s="2213"/>
      <c r="F160" s="2150"/>
      <c r="G160" s="2214"/>
      <c r="H160" s="2784"/>
      <c r="I160" s="2784">
        <v>1</v>
      </c>
      <c r="J160" s="2810"/>
      <c r="K160" s="2465" t="s">
        <v>66</v>
      </c>
      <c r="L160" s="2403"/>
      <c r="M160" s="2403" t="s">
        <v>118</v>
      </c>
      <c r="N160" s="2808" t="str">
        <f>IF(Z160="","",INDEX(TERRITORY_MR_LIST,MATCH(Z160,TERRITORY_LIST_ID,0)))</f>
        <v/>
      </c>
      <c r="O160" s="2465" t="s">
        <v>66</v>
      </c>
      <c r="P160" s="2403"/>
      <c r="Q160" s="2403" t="s">
        <v>118</v>
      </c>
      <c r="R160" s="2789" t="s">
        <v>24</v>
      </c>
      <c r="S160" s="2402" t="s">
        <v>66</v>
      </c>
      <c r="T160" s="2177"/>
      <c r="U160" s="2177" t="s">
        <v>118</v>
      </c>
      <c r="V160" s="2209" t="s">
        <v>24</v>
      </c>
      <c r="W160" s="2167"/>
      <c r="Y160" s="1633"/>
      <c r="Z160" s="1633"/>
      <c r="AA160" s="1633"/>
      <c r="AB160" s="1633"/>
      <c r="AC160" s="1633"/>
      <c r="AD160" s="1633"/>
      <c r="AE160" s="1633"/>
      <c r="AF160" s="1633"/>
      <c r="AG160" s="1633"/>
      <c r="AH160" s="1633"/>
      <c r="AI160" s="1633"/>
      <c r="AJ160" s="1633"/>
      <c r="AK160" s="1633"/>
      <c r="AL160" s="2210"/>
      <c r="AM160" s="2210"/>
      <c r="AN160" s="1633"/>
      <c r="AO160" s="1633"/>
      <c r="AP160" s="1633"/>
      <c r="AQ160" s="1633"/>
    </row>
    <row s="37936" customFormat="1" customHeight="1" ht="17.25">
      <c r="A161" s="2206"/>
      <c r="C161" s="2211"/>
      <c r="D161" s="2196"/>
      <c r="E161" s="2213"/>
      <c r="F161" s="2150"/>
      <c r="G161" s="2214"/>
      <c r="H161" s="2784"/>
      <c r="I161" s="2784"/>
      <c r="J161" s="2810"/>
      <c r="K161" s="2466"/>
      <c r="L161" s="2403"/>
      <c r="M161" s="2403"/>
      <c r="N161" s="2808"/>
      <c r="O161" s="2466"/>
      <c r="P161" s="2403"/>
      <c r="Q161" s="2403"/>
      <c r="R161" s="2789"/>
      <c r="S161" s="2402"/>
      <c r="T161" s="678"/>
      <c r="U161" s="679"/>
      <c r="V161" s="679" t="s">
        <v>455</v>
      </c>
      <c r="W161" s="680"/>
      <c r="Y161" s="1625"/>
      <c r="Z161" s="1625"/>
      <c r="AA161" s="1625"/>
      <c r="AB161" s="1625"/>
      <c r="AC161" s="1625"/>
      <c r="AD161" s="1625"/>
      <c r="AE161" s="1625"/>
      <c r="AF161" s="1625"/>
      <c r="AG161" s="1625"/>
      <c r="AH161" s="1625"/>
      <c r="AI161" s="1625"/>
      <c r="AJ161" s="1625"/>
      <c r="AK161" s="1625"/>
    </row>
    <row s="37936" customFormat="1" customHeight="1" ht="17.25">
      <c r="A162" s="2206"/>
      <c r="C162" s="2211"/>
      <c r="D162" s="2196"/>
      <c r="E162" s="2213"/>
      <c r="F162" s="2150"/>
      <c r="G162" s="2214"/>
      <c r="H162" s="2785"/>
      <c r="I162" s="2785"/>
      <c r="J162" s="2811"/>
      <c r="K162" s="2466"/>
      <c r="L162" s="2785"/>
      <c r="M162" s="2785"/>
      <c r="N162" s="2809"/>
      <c r="O162" s="2407"/>
      <c r="P162" s="678"/>
      <c r="Q162" s="679"/>
      <c r="R162" s="679" t="s">
        <v>262</v>
      </c>
      <c r="S162" s="2212"/>
      <c r="T162" s="2212"/>
      <c r="U162" s="2212"/>
      <c r="V162" s="2212"/>
      <c r="W162" s="680"/>
      <c r="Y162" s="1625"/>
      <c r="Z162" s="1625"/>
      <c r="AA162" s="1625"/>
      <c r="AB162" s="1625"/>
      <c r="AC162" s="1625"/>
      <c r="AD162" s="1625"/>
      <c r="AE162" s="1625"/>
      <c r="AF162" s="1625"/>
      <c r="AG162" s="1625"/>
      <c r="AH162" s="1625"/>
      <c r="AI162" s="1625"/>
      <c r="AJ162" s="1625"/>
      <c r="AK162" s="1625"/>
    </row>
    <row s="37936" customFormat="1" customHeight="1" ht="17.25">
      <c r="A163" s="2206"/>
      <c r="C163" s="2211"/>
      <c r="D163" s="2196"/>
      <c r="E163" s="2213"/>
      <c r="F163" s="2150"/>
      <c r="G163" s="2214"/>
      <c r="H163" s="2785"/>
      <c r="I163" s="2785"/>
      <c r="J163" s="2811"/>
      <c r="K163" s="2407"/>
      <c r="L163" s="678"/>
      <c r="M163" s="679"/>
      <c r="N163" s="679" t="s">
        <v>270</v>
      </c>
      <c r="O163" s="679"/>
      <c r="P163" s="679"/>
      <c r="Q163" s="679"/>
      <c r="R163" s="679"/>
      <c r="S163" s="2212"/>
      <c r="T163" s="2212"/>
      <c r="U163" s="2212"/>
      <c r="V163" s="2212"/>
      <c r="W163" s="680"/>
      <c r="Y163" s="1625"/>
      <c r="Z163" s="1625"/>
      <c r="AA163" s="1625"/>
      <c r="AB163" s="1625"/>
      <c r="AC163" s="1625"/>
      <c r="AD163" s="1625"/>
      <c r="AE163" s="1625"/>
      <c r="AF163" s="1625"/>
      <c r="AG163" s="1625"/>
      <c r="AH163" s="1625"/>
      <c r="AI163" s="1625"/>
      <c r="AJ163" s="1625"/>
      <c r="AK163" s="1625"/>
    </row>
    <row customHeight="1" ht="17.25">
      <c r="G164" s="2205"/>
      <c r="H164" s="2205"/>
      <c r="I164" s="2205"/>
      <c r="M164" s="2201"/>
    </row>
    <row s="37936" customFormat="1" customHeight="1" ht="17.25">
      <c r="A165" s="2206"/>
      <c r="C165" s="2208"/>
      <c r="D165" s="2196"/>
      <c r="E165" s="2213"/>
      <c r="F165" s="2150"/>
      <c r="G165" s="2214"/>
      <c r="H165" s="2196"/>
      <c r="I165" s="2196"/>
      <c r="J165" s="2215"/>
      <c r="K165" s="2126"/>
      <c r="L165" s="2403"/>
      <c r="M165" s="2403" t="s">
        <v>118</v>
      </c>
      <c r="N165" s="2808" t="str">
        <f>IF(Z165="","",INDEX(TERRITORY_MR_LIST,MATCH(Z165,TERRITORY_LIST_ID,0)))</f>
        <v/>
      </c>
      <c r="O165" s="2465" t="s">
        <v>66</v>
      </c>
      <c r="P165" s="2403"/>
      <c r="Q165" s="2403" t="s">
        <v>118</v>
      </c>
      <c r="R165" s="2789" t="s">
        <v>24</v>
      </c>
      <c r="S165" s="2402" t="s">
        <v>66</v>
      </c>
      <c r="T165" s="2177"/>
      <c r="U165" s="2177" t="s">
        <v>118</v>
      </c>
      <c r="V165" s="2209" t="s">
        <v>24</v>
      </c>
      <c r="W165" s="2167"/>
      <c r="Y165" s="1633"/>
      <c r="Z165" s="1633"/>
      <c r="AA165" s="1633"/>
      <c r="AB165" s="1633"/>
      <c r="AC165" s="1633"/>
      <c r="AD165" s="1633"/>
      <c r="AE165" s="1633"/>
      <c r="AF165" s="1633"/>
      <c r="AG165" s="1633"/>
      <c r="AH165" s="1633"/>
      <c r="AI165" s="1633"/>
      <c r="AJ165" s="1633"/>
      <c r="AK165" s="1633"/>
      <c r="AL165" s="2210"/>
      <c r="AM165" s="2210"/>
      <c r="AN165" s="1633"/>
      <c r="AO165" s="1633"/>
      <c r="AP165" s="1633"/>
      <c r="AQ165" s="1633"/>
    </row>
    <row s="37936" customFormat="1" customHeight="1" ht="17.25">
      <c r="A166" s="2206"/>
      <c r="C166" s="2211"/>
      <c r="D166" s="2196"/>
      <c r="E166" s="2213"/>
      <c r="F166" s="2150"/>
      <c r="G166" s="2214"/>
      <c r="H166" s="2196"/>
      <c r="I166" s="2196"/>
      <c r="J166" s="2215"/>
      <c r="K166" s="2126"/>
      <c r="L166" s="2403"/>
      <c r="M166" s="2403"/>
      <c r="N166" s="2808"/>
      <c r="O166" s="2466"/>
      <c r="P166" s="2403"/>
      <c r="Q166" s="2403"/>
      <c r="R166" s="2789"/>
      <c r="S166" s="2402"/>
      <c r="T166" s="678"/>
      <c r="U166" s="679"/>
      <c r="V166" s="679" t="s">
        <v>455</v>
      </c>
      <c r="W166" s="680"/>
      <c r="Y166" s="1625"/>
      <c r="Z166" s="1625"/>
      <c r="AA166" s="1625"/>
      <c r="AB166" s="1625"/>
      <c r="AC166" s="1625"/>
      <c r="AD166" s="1625"/>
      <c r="AE166" s="1625"/>
      <c r="AF166" s="1625"/>
      <c r="AG166" s="1625"/>
      <c r="AH166" s="1625"/>
      <c r="AI166" s="1625"/>
      <c r="AJ166" s="1625"/>
      <c r="AK166" s="1625"/>
    </row>
    <row s="37936" customFormat="1" customHeight="1" ht="17.25">
      <c r="A167" s="2206"/>
      <c r="C167" s="2211"/>
      <c r="D167" s="2196"/>
      <c r="E167" s="2213"/>
      <c r="F167" s="2150"/>
      <c r="G167" s="2214"/>
      <c r="H167" s="2196"/>
      <c r="I167" s="2196"/>
      <c r="J167" s="2215"/>
      <c r="K167" s="2126"/>
      <c r="L167" s="2785"/>
      <c r="M167" s="2785"/>
      <c r="N167" s="2809"/>
      <c r="O167" s="2407"/>
      <c r="P167" s="678"/>
      <c r="Q167" s="679"/>
      <c r="R167" s="679" t="s">
        <v>262</v>
      </c>
      <c r="S167" s="2212"/>
      <c r="T167" s="2212"/>
      <c r="U167" s="2212"/>
      <c r="V167" s="2212"/>
      <c r="W167" s="680"/>
      <c r="Y167" s="1625"/>
      <c r="Z167" s="1625"/>
      <c r="AA167" s="1625"/>
      <c r="AB167" s="1625"/>
      <c r="AC167" s="1625"/>
      <c r="AD167" s="1625"/>
      <c r="AE167" s="1625"/>
      <c r="AF167" s="1625"/>
      <c r="AG167" s="1625"/>
      <c r="AH167" s="1625"/>
      <c r="AI167" s="1625"/>
      <c r="AJ167" s="1625"/>
      <c r="AK167" s="1625"/>
    </row>
    <row customHeight="1" ht="17.25">
      <c r="G168" s="2205"/>
      <c r="H168" s="2205"/>
      <c r="I168" s="2205"/>
      <c r="M168" s="2201"/>
    </row>
    <row s="37936" customFormat="1" customHeight="1" ht="17.25">
      <c r="A169" s="2206"/>
      <c r="C169" s="2208"/>
      <c r="D169" s="2196"/>
      <c r="E169" s="2213"/>
      <c r="F169" s="2150"/>
      <c r="G169" s="2214"/>
      <c r="H169" s="2196"/>
      <c r="I169" s="2196"/>
      <c r="J169" s="2215"/>
      <c r="K169" s="2126"/>
      <c r="L169" s="2122"/>
      <c r="M169" s="2122"/>
      <c r="N169" s="2216"/>
      <c r="O169" s="2153"/>
      <c r="P169" s="2403"/>
      <c r="Q169" s="2403" t="s">
        <v>118</v>
      </c>
      <c r="R169" s="2789" t="s">
        <v>24</v>
      </c>
      <c r="S169" s="2402" t="s">
        <v>66</v>
      </c>
      <c r="T169" s="2177"/>
      <c r="U169" s="2177" t="s">
        <v>118</v>
      </c>
      <c r="V169" s="2209" t="s">
        <v>24</v>
      </c>
      <c r="W169" s="2167"/>
      <c r="Y169" s="1633"/>
      <c r="Z169" s="1633"/>
      <c r="AA169" s="1633"/>
      <c r="AB169" s="1633"/>
      <c r="AC169" s="1633"/>
      <c r="AD169" s="1633"/>
      <c r="AE169" s="1633"/>
      <c r="AF169" s="1633"/>
      <c r="AG169" s="1633"/>
      <c r="AH169" s="1633"/>
      <c r="AI169" s="1633"/>
      <c r="AJ169" s="1633"/>
      <c r="AK169" s="1633"/>
      <c r="AL169" s="2210"/>
      <c r="AM169" s="2210"/>
      <c r="AN169" s="1633"/>
      <c r="AO169" s="1633"/>
      <c r="AP169" s="1633"/>
      <c r="AQ169" s="1633"/>
    </row>
    <row s="37936" customFormat="1" customHeight="1" ht="17.25">
      <c r="A170" s="2206"/>
      <c r="C170" s="2211"/>
      <c r="D170" s="2196"/>
      <c r="E170" s="2213"/>
      <c r="F170" s="2150"/>
      <c r="G170" s="2214"/>
      <c r="H170" s="2196"/>
      <c r="I170" s="2196"/>
      <c r="J170" s="2215"/>
      <c r="K170" s="2126"/>
      <c r="L170" s="2122"/>
      <c r="M170" s="2122"/>
      <c r="N170" s="2216"/>
      <c r="O170" s="2153"/>
      <c r="P170" s="2403"/>
      <c r="Q170" s="2403"/>
      <c r="R170" s="2789"/>
      <c r="S170" s="2402"/>
      <c r="T170" s="678"/>
      <c r="U170" s="679"/>
      <c r="V170" s="679" t="s">
        <v>455</v>
      </c>
      <c r="W170" s="680"/>
      <c r="Y170" s="1625"/>
      <c r="Z170" s="1625"/>
      <c r="AA170" s="1625"/>
      <c r="AB170" s="1625"/>
      <c r="AC170" s="1625"/>
      <c r="AD170" s="1625"/>
      <c r="AE170" s="1625"/>
      <c r="AF170" s="1625"/>
      <c r="AG170" s="1625"/>
      <c r="AH170" s="1625"/>
      <c r="AI170" s="1625"/>
      <c r="AJ170" s="1625"/>
      <c r="AK170" s="1625"/>
    </row>
    <row customHeight="1" ht="17.25">
      <c r="G171" s="2205"/>
      <c r="H171" s="2205"/>
      <c r="I171" s="2205"/>
      <c r="M171" s="2201"/>
    </row>
    <row s="37936" customFormat="1" customHeight="1" ht="17.25">
      <c r="A172" s="2206"/>
      <c r="C172" s="2208"/>
      <c r="D172" s="2196"/>
      <c r="E172" s="2213"/>
      <c r="F172" s="2150"/>
      <c r="G172" s="2214"/>
      <c r="H172" s="2122"/>
      <c r="I172" s="2122"/>
      <c r="J172" s="2123"/>
      <c r="K172" s="2214"/>
      <c r="L172" s="2122"/>
      <c r="M172" s="2122"/>
      <c r="N172" s="2214"/>
      <c r="O172" s="2214"/>
      <c r="P172" s="2122"/>
      <c r="Q172" s="2122"/>
      <c r="R172" s="2124"/>
      <c r="S172" s="2214"/>
      <c r="T172" s="2177"/>
      <c r="U172" s="2177" t="s">
        <v>118</v>
      </c>
      <c r="V172" s="2209" t="s">
        <v>24</v>
      </c>
      <c r="W172" s="2167"/>
      <c r="Y172" s="1633"/>
      <c r="Z172" s="1633"/>
      <c r="AA172" s="1633"/>
      <c r="AB172" s="1633"/>
      <c r="AC172" s="1633"/>
      <c r="AD172" s="1633"/>
      <c r="AE172" s="1633"/>
      <c r="AF172" s="1633"/>
      <c r="AG172" s="1633"/>
      <c r="AH172" s="1633"/>
      <c r="AI172" s="1633"/>
      <c r="AJ172" s="1633"/>
      <c r="AK172" s="1633"/>
      <c r="AL172" s="2210"/>
      <c r="AM172" s="2210"/>
      <c r="AN172" s="1633"/>
      <c r="AO172" s="1633"/>
      <c r="AP172" s="1633"/>
      <c r="AQ172" s="1633"/>
    </row>
    <row r="174" s="37744" customFormat="1" customHeight="1" ht="17.25">
      <c r="A174" s="2181" t="s">
        <v>1907</v>
      </c>
    </row>
    <row customHeight="1" ht="17.25">
      <c r="G175" s="2205"/>
      <c r="H175" s="2205"/>
      <c r="I175" s="2205"/>
      <c r="M175" s="2201"/>
    </row>
    <row s="37936" customFormat="1" customHeight="1" ht="17.25">
      <c r="A176" s="2206"/>
      <c r="C176" s="2208"/>
      <c r="D176" s="2784"/>
      <c r="E176" s="2418"/>
      <c r="F176" s="2420"/>
      <c r="G176" s="2790"/>
      <c r="H176" s="2784"/>
      <c r="I176" s="2784">
        <v>1</v>
      </c>
      <c r="J176" s="2810"/>
      <c r="K176" s="2465" t="s">
        <v>66</v>
      </c>
      <c r="L176" s="2403"/>
      <c r="M176" s="2403" t="s">
        <v>118</v>
      </c>
      <c r="N176" s="2808" t="str">
        <f>IF(Z176="","",INDEX(TERRITORY_MR_LIST,MATCH(Z176,TERRITORY_LIST_ID,0)))</f>
        <v/>
      </c>
      <c r="O176" s="2465" t="s">
        <v>66</v>
      </c>
      <c r="P176" s="2403"/>
      <c r="Q176" s="2403" t="s">
        <v>118</v>
      </c>
      <c r="R176" s="2789" t="s">
        <v>24</v>
      </c>
      <c r="S176" s="2663" t="s">
        <v>56</v>
      </c>
      <c r="T176" s="2168"/>
      <c r="U176" s="2168" t="s">
        <v>118</v>
      </c>
      <c r="V176" s="1800"/>
      <c r="W176" s="2810"/>
      <c r="Y176" s="1633"/>
      <c r="Z176" s="1633"/>
      <c r="AA176" s="1633"/>
      <c r="AB176" s="1633"/>
      <c r="AC176" s="1633"/>
      <c r="AD176" s="1633"/>
      <c r="AE176" s="1633"/>
      <c r="AF176" s="1633"/>
      <c r="AG176" s="1633"/>
      <c r="AH176" s="1633"/>
      <c r="AI176" s="1633"/>
      <c r="AJ176" s="1633"/>
      <c r="AK176" s="1633"/>
      <c r="AL176" s="2210"/>
      <c r="AM176" s="2210"/>
      <c r="AN176" s="1633"/>
      <c r="AO176" s="1633"/>
      <c r="AP176" s="1633"/>
      <c r="AQ176" s="1633"/>
    </row>
    <row s="37936" customFormat="1" customHeight="1" ht="17.25">
      <c r="A177" s="2206"/>
      <c r="C177" s="2211"/>
      <c r="D177" s="2784"/>
      <c r="E177" s="2418"/>
      <c r="F177" s="2421"/>
      <c r="G177" s="2790"/>
      <c r="H177" s="2784"/>
      <c r="I177" s="2784"/>
      <c r="J177" s="2810"/>
      <c r="K177" s="2466"/>
      <c r="L177" s="2403"/>
      <c r="M177" s="2403"/>
      <c r="N177" s="2808"/>
      <c r="O177" s="2466"/>
      <c r="P177" s="2403"/>
      <c r="Q177" s="2403"/>
      <c r="R177" s="2789"/>
      <c r="S177" s="2663"/>
      <c r="T177" s="1801"/>
      <c r="U177" s="1802"/>
      <c r="V177" s="1802"/>
      <c r="W177" s="2810"/>
      <c r="Y177" s="1625"/>
      <c r="Z177" s="1625"/>
      <c r="AA177" s="1625"/>
      <c r="AB177" s="1625"/>
      <c r="AC177" s="1625"/>
      <c r="AD177" s="1625"/>
      <c r="AE177" s="1625"/>
      <c r="AF177" s="1625"/>
      <c r="AG177" s="1625"/>
      <c r="AH177" s="1625"/>
      <c r="AI177" s="1625"/>
      <c r="AJ177" s="1625"/>
      <c r="AK177" s="1625"/>
    </row>
    <row s="37936" customFormat="1" customHeight="1" ht="17.25">
      <c r="A178" s="2206"/>
      <c r="C178" s="2211"/>
      <c r="D178" s="2785"/>
      <c r="E178" s="2807"/>
      <c r="F178" s="2421"/>
      <c r="G178" s="2791"/>
      <c r="H178" s="2785"/>
      <c r="I178" s="2785"/>
      <c r="J178" s="2811"/>
      <c r="K178" s="2466"/>
      <c r="L178" s="2785"/>
      <c r="M178" s="2785"/>
      <c r="N178" s="2809"/>
      <c r="O178" s="2407"/>
      <c r="P178" s="678"/>
      <c r="Q178" s="679"/>
      <c r="R178" s="679" t="s">
        <v>262</v>
      </c>
      <c r="S178" s="2212"/>
      <c r="T178" s="2212"/>
      <c r="U178" s="2212"/>
      <c r="V178" s="2212"/>
      <c r="W178" s="1799"/>
      <c r="Y178" s="1625"/>
      <c r="Z178" s="1625"/>
      <c r="AA178" s="1625"/>
      <c r="AB178" s="1625"/>
      <c r="AC178" s="1625"/>
      <c r="AD178" s="1625"/>
      <c r="AE178" s="1625"/>
      <c r="AF178" s="1625"/>
      <c r="AG178" s="1625"/>
      <c r="AH178" s="1625"/>
      <c r="AI178" s="1625"/>
      <c r="AJ178" s="1625"/>
      <c r="AK178" s="1625"/>
    </row>
    <row s="37936" customFormat="1" customHeight="1" ht="17.25">
      <c r="A179" s="2206"/>
      <c r="C179" s="2211"/>
      <c r="D179" s="2785"/>
      <c r="E179" s="2807"/>
      <c r="F179" s="2421"/>
      <c r="G179" s="2791"/>
      <c r="H179" s="2785"/>
      <c r="I179" s="2785"/>
      <c r="J179" s="2811"/>
      <c r="K179" s="2407"/>
      <c r="L179" s="678"/>
      <c r="M179" s="679"/>
      <c r="N179" s="679" t="s">
        <v>270</v>
      </c>
      <c r="O179" s="679"/>
      <c r="P179" s="679"/>
      <c r="Q179" s="679"/>
      <c r="R179" s="679"/>
      <c r="S179" s="2212"/>
      <c r="T179" s="2212"/>
      <c r="U179" s="2212"/>
      <c r="V179" s="2212"/>
      <c r="W179" s="680"/>
      <c r="Y179" s="1625"/>
      <c r="Z179" s="1625"/>
      <c r="AA179" s="1625"/>
      <c r="AB179" s="1625"/>
      <c r="AC179" s="1625"/>
      <c r="AD179" s="1625"/>
      <c r="AE179" s="1625"/>
      <c r="AF179" s="1625"/>
      <c r="AG179" s="1625"/>
      <c r="AH179" s="1625"/>
      <c r="AI179" s="1625"/>
      <c r="AJ179" s="1625"/>
      <c r="AK179" s="1625"/>
    </row>
    <row s="37936" customFormat="1" customHeight="1" ht="17.25">
      <c r="A180" s="2206"/>
      <c r="C180" s="2211"/>
      <c r="D180" s="2785"/>
      <c r="E180" s="2807"/>
      <c r="F180" s="2422"/>
      <c r="G180" s="2791"/>
      <c r="H180" s="678"/>
      <c r="I180" s="679"/>
      <c r="J180" s="679" t="s">
        <v>294</v>
      </c>
      <c r="K180" s="679"/>
      <c r="L180" s="679"/>
      <c r="M180" s="679"/>
      <c r="N180" s="679"/>
      <c r="O180" s="679"/>
      <c r="P180" s="679"/>
      <c r="Q180" s="679"/>
      <c r="R180" s="679"/>
      <c r="S180" s="2212"/>
      <c r="T180" s="2212"/>
      <c r="U180" s="2212"/>
      <c r="V180" s="2212"/>
      <c r="W180" s="680"/>
      <c r="Y180" s="1625"/>
      <c r="Z180" s="1625"/>
      <c r="AA180" s="1625"/>
      <c r="AB180" s="1625"/>
      <c r="AC180" s="1625"/>
      <c r="AD180" s="1625"/>
      <c r="AE180" s="1625"/>
      <c r="AF180" s="1625"/>
      <c r="AG180" s="1625"/>
      <c r="AH180" s="1625"/>
      <c r="AI180" s="1625"/>
      <c r="AJ180" s="1625"/>
      <c r="AK180" s="1625"/>
    </row>
    <row customHeight="1" ht="17.25">
      <c r="A181" s="2217"/>
    </row>
    <row s="37936" customFormat="1" customHeight="1" ht="17.25">
      <c r="A182" s="2206"/>
      <c r="C182" s="2208"/>
      <c r="D182" s="2196"/>
      <c r="E182" s="2213"/>
      <c r="F182" s="2150"/>
      <c r="G182" s="2214"/>
      <c r="H182" s="2784"/>
      <c r="I182" s="2784">
        <v>1</v>
      </c>
      <c r="J182" s="2810"/>
      <c r="K182" s="2465" t="s">
        <v>66</v>
      </c>
      <c r="L182" s="2403"/>
      <c r="M182" s="2403" t="s">
        <v>118</v>
      </c>
      <c r="N182" s="2808" t="str">
        <f>IF(Z182="","",INDEX(TERRITORY_MR_LIST,MATCH(Z182,TERRITORY_LIST_ID,0)))</f>
        <v/>
      </c>
      <c r="O182" s="2465" t="s">
        <v>66</v>
      </c>
      <c r="P182" s="2403"/>
      <c r="Q182" s="2403" t="s">
        <v>118</v>
      </c>
      <c r="R182" s="2789" t="s">
        <v>24</v>
      </c>
      <c r="S182" s="2663" t="s">
        <v>56</v>
      </c>
      <c r="T182" s="2168"/>
      <c r="U182" s="2168" t="s">
        <v>118</v>
      </c>
      <c r="V182" s="1800"/>
      <c r="W182" s="2810"/>
      <c r="Y182" s="1633"/>
      <c r="Z182" s="1633"/>
      <c r="AA182" s="1633"/>
      <c r="AB182" s="1633"/>
      <c r="AC182" s="1633"/>
      <c r="AD182" s="1633"/>
      <c r="AE182" s="1633"/>
      <c r="AF182" s="1633"/>
      <c r="AG182" s="1633"/>
      <c r="AH182" s="1633"/>
      <c r="AI182" s="1633"/>
      <c r="AJ182" s="1633"/>
      <c r="AK182" s="1633"/>
      <c r="AL182" s="2210"/>
      <c r="AM182" s="2210"/>
      <c r="AN182" s="1633"/>
      <c r="AO182" s="1633"/>
      <c r="AP182" s="1633"/>
      <c r="AQ182" s="1633"/>
    </row>
    <row s="37936" customFormat="1" customHeight="1" ht="17.25">
      <c r="A183" s="2206"/>
      <c r="C183" s="2211"/>
      <c r="D183" s="2196"/>
      <c r="E183" s="2213"/>
      <c r="F183" s="2150"/>
      <c r="G183" s="2214"/>
      <c r="H183" s="2784"/>
      <c r="I183" s="2784"/>
      <c r="J183" s="2810"/>
      <c r="K183" s="2466"/>
      <c r="L183" s="2403"/>
      <c r="M183" s="2403"/>
      <c r="N183" s="2808"/>
      <c r="O183" s="2466"/>
      <c r="P183" s="2403"/>
      <c r="Q183" s="2403"/>
      <c r="R183" s="2789"/>
      <c r="S183" s="2663"/>
      <c r="T183" s="1801"/>
      <c r="U183" s="1802"/>
      <c r="V183" s="1802"/>
      <c r="W183" s="2810"/>
      <c r="Y183" s="1625"/>
      <c r="Z183" s="1625"/>
      <c r="AA183" s="1625"/>
      <c r="AB183" s="1625"/>
      <c r="AC183" s="1625"/>
      <c r="AD183" s="1625"/>
      <c r="AE183" s="1625"/>
      <c r="AF183" s="1625"/>
      <c r="AG183" s="1625"/>
      <c r="AH183" s="1625"/>
      <c r="AI183" s="1625"/>
      <c r="AJ183" s="1625"/>
      <c r="AK183" s="1625"/>
    </row>
    <row s="37936" customFormat="1" customHeight="1" ht="17.25">
      <c r="A184" s="2206"/>
      <c r="C184" s="2211"/>
      <c r="D184" s="2196"/>
      <c r="E184" s="2213"/>
      <c r="F184" s="2150"/>
      <c r="G184" s="2214"/>
      <c r="H184" s="2785"/>
      <c r="I184" s="2785"/>
      <c r="J184" s="2811"/>
      <c r="K184" s="2466"/>
      <c r="L184" s="2785"/>
      <c r="M184" s="2785"/>
      <c r="N184" s="2809"/>
      <c r="O184" s="2407"/>
      <c r="P184" s="678"/>
      <c r="Q184" s="679"/>
      <c r="R184" s="679" t="s">
        <v>262</v>
      </c>
      <c r="S184" s="2212"/>
      <c r="T184" s="2212"/>
      <c r="U184" s="2212"/>
      <c r="V184" s="2212"/>
      <c r="W184" s="1799"/>
      <c r="Y184" s="1625"/>
      <c r="Z184" s="1625"/>
      <c r="AA184" s="1625"/>
      <c r="AB184" s="1625"/>
      <c r="AC184" s="1625"/>
      <c r="AD184" s="1625"/>
      <c r="AE184" s="1625"/>
      <c r="AF184" s="1625"/>
      <c r="AG184" s="1625"/>
      <c r="AH184" s="1625"/>
      <c r="AI184" s="1625"/>
      <c r="AJ184" s="1625"/>
      <c r="AK184" s="1625"/>
    </row>
    <row s="37936" customFormat="1" customHeight="1" ht="17.25">
      <c r="A185" s="2206"/>
      <c r="C185" s="2211"/>
      <c r="D185" s="2196"/>
      <c r="E185" s="2213"/>
      <c r="F185" s="2150"/>
      <c r="G185" s="2214"/>
      <c r="H185" s="2785"/>
      <c r="I185" s="2785"/>
      <c r="J185" s="2811"/>
      <c r="K185" s="2407"/>
      <c r="L185" s="678"/>
      <c r="M185" s="679"/>
      <c r="N185" s="679" t="s">
        <v>270</v>
      </c>
      <c r="O185" s="679"/>
      <c r="P185" s="679"/>
      <c r="Q185" s="679"/>
      <c r="R185" s="679"/>
      <c r="S185" s="2212"/>
      <c r="T185" s="2212"/>
      <c r="U185" s="2212"/>
      <c r="V185" s="2212"/>
      <c r="W185" s="680"/>
      <c r="Y185" s="1625"/>
      <c r="Z185" s="1625"/>
      <c r="AA185" s="1625"/>
      <c r="AB185" s="1625"/>
      <c r="AC185" s="1625"/>
      <c r="AD185" s="1625"/>
      <c r="AE185" s="1625"/>
      <c r="AF185" s="1625"/>
      <c r="AG185" s="1625"/>
      <c r="AH185" s="1625"/>
      <c r="AI185" s="1625"/>
      <c r="AJ185" s="1625"/>
      <c r="AK185" s="1625"/>
    </row>
    <row customHeight="1" ht="17.25">
      <c r="A186" s="2217"/>
    </row>
    <row s="37936" customFormat="1" customHeight="1" ht="17.25">
      <c r="A187" s="2206"/>
      <c r="C187" s="2208"/>
      <c r="D187" s="2196"/>
      <c r="E187" s="2213"/>
      <c r="F187" s="2150"/>
      <c r="G187" s="2214"/>
      <c r="H187" s="2196"/>
      <c r="I187" s="2196"/>
      <c r="J187" s="2218"/>
      <c r="K187" s="2214"/>
      <c r="L187" s="2403"/>
      <c r="M187" s="2403" t="s">
        <v>118</v>
      </c>
      <c r="N187" s="2808" t="str">
        <f>IF(Z187="","",INDEX(TERRITORY_MR_LIST,MATCH(Z187,TERRITORY_LIST_ID,0)))</f>
        <v/>
      </c>
      <c r="O187" s="2465" t="s">
        <v>66</v>
      </c>
      <c r="P187" s="2403"/>
      <c r="Q187" s="2403" t="s">
        <v>118</v>
      </c>
      <c r="R187" s="2789" t="s">
        <v>24</v>
      </c>
      <c r="S187" s="2663" t="s">
        <v>56</v>
      </c>
      <c r="T187" s="2168"/>
      <c r="U187" s="2168" t="s">
        <v>118</v>
      </c>
      <c r="V187" s="1800"/>
      <c r="W187" s="2810"/>
      <c r="Y187" s="1633"/>
      <c r="Z187" s="1633"/>
      <c r="AA187" s="1633"/>
      <c r="AB187" s="1633"/>
      <c r="AC187" s="1633"/>
      <c r="AD187" s="1633"/>
      <c r="AE187" s="1633"/>
      <c r="AF187" s="1633"/>
      <c r="AG187" s="1633"/>
      <c r="AH187" s="1633"/>
      <c r="AI187" s="1633"/>
      <c r="AJ187" s="1633"/>
      <c r="AK187" s="1633"/>
      <c r="AL187" s="2210"/>
      <c r="AM187" s="2210"/>
      <c r="AN187" s="1633"/>
      <c r="AO187" s="1633"/>
      <c r="AP187" s="1633"/>
      <c r="AQ187" s="1633"/>
    </row>
    <row s="37936" customFormat="1" customHeight="1" ht="17.25">
      <c r="A188" s="2206"/>
      <c r="C188" s="2211"/>
      <c r="D188" s="2196"/>
      <c r="E188" s="2213"/>
      <c r="F188" s="2150"/>
      <c r="G188" s="2214"/>
      <c r="H188" s="2196"/>
      <c r="I188" s="2196"/>
      <c r="J188" s="2218"/>
      <c r="K188" s="2214"/>
      <c r="L188" s="2403"/>
      <c r="M188" s="2403"/>
      <c r="N188" s="2808"/>
      <c r="O188" s="2466"/>
      <c r="P188" s="2403"/>
      <c r="Q188" s="2403"/>
      <c r="R188" s="2789"/>
      <c r="S188" s="2663"/>
      <c r="T188" s="1801"/>
      <c r="U188" s="1802"/>
      <c r="V188" s="1802"/>
      <c r="W188" s="2810"/>
      <c r="Y188" s="1625"/>
      <c r="Z188" s="1625"/>
      <c r="AA188" s="1625"/>
      <c r="AB188" s="1625"/>
      <c r="AC188" s="1625"/>
      <c r="AD188" s="1625"/>
      <c r="AE188" s="1625"/>
      <c r="AF188" s="1625"/>
      <c r="AG188" s="1625"/>
      <c r="AH188" s="1625"/>
      <c r="AI188" s="1625"/>
      <c r="AJ188" s="1625"/>
      <c r="AK188" s="1625"/>
    </row>
    <row s="37936" customFormat="1" customHeight="1" ht="17.25">
      <c r="A189" s="2206"/>
      <c r="C189" s="2211"/>
      <c r="D189" s="2196"/>
      <c r="E189" s="2213"/>
      <c r="F189" s="2150"/>
      <c r="G189" s="2214"/>
      <c r="H189" s="2196"/>
      <c r="I189" s="2196"/>
      <c r="J189" s="2218"/>
      <c r="K189" s="2214"/>
      <c r="L189" s="2785"/>
      <c r="M189" s="2785"/>
      <c r="N189" s="2809"/>
      <c r="O189" s="2407"/>
      <c r="P189" s="678"/>
      <c r="Q189" s="679"/>
      <c r="R189" s="679" t="s">
        <v>262</v>
      </c>
      <c r="S189" s="2212"/>
      <c r="T189" s="2212"/>
      <c r="U189" s="2212"/>
      <c r="V189" s="2212"/>
      <c r="W189" s="1799"/>
      <c r="Y189" s="1625"/>
      <c r="Z189" s="1625"/>
      <c r="AA189" s="1625"/>
      <c r="AB189" s="1625"/>
      <c r="AC189" s="1625"/>
      <c r="AD189" s="1625"/>
      <c r="AE189" s="1625"/>
      <c r="AF189" s="1625"/>
      <c r="AG189" s="1625"/>
      <c r="AH189" s="1625"/>
      <c r="AI189" s="1625"/>
      <c r="AJ189" s="1625"/>
      <c r="AK189" s="1625"/>
    </row>
    <row customHeight="1" ht="17.25">
      <c r="A190" s="2217"/>
    </row>
    <row s="37936" customFormat="1" customHeight="1" ht="17.25">
      <c r="A191" s="2206"/>
      <c r="C191" s="2208"/>
      <c r="D191" s="2196"/>
      <c r="E191" s="2213"/>
      <c r="F191" s="2150"/>
      <c r="G191" s="2214"/>
      <c r="H191" s="2196"/>
      <c r="I191" s="2196"/>
      <c r="J191" s="2218"/>
      <c r="K191" s="2214"/>
      <c r="L191" s="2196"/>
      <c r="M191" s="2196"/>
      <c r="N191" s="2216"/>
      <c r="O191" s="2153"/>
      <c r="P191" s="2403"/>
      <c r="Q191" s="2403" t="s">
        <v>118</v>
      </c>
      <c r="R191" s="2789" t="s">
        <v>24</v>
      </c>
      <c r="S191" s="2663" t="s">
        <v>56</v>
      </c>
      <c r="T191" s="2168"/>
      <c r="U191" s="2168" t="s">
        <v>118</v>
      </c>
      <c r="V191" s="1800"/>
      <c r="W191" s="2810"/>
      <c r="Y191" s="1633"/>
      <c r="Z191" s="1633"/>
      <c r="AA191" s="1633"/>
      <c r="AB191" s="1633"/>
      <c r="AC191" s="1633"/>
      <c r="AD191" s="1633"/>
      <c r="AE191" s="1633"/>
      <c r="AF191" s="1633"/>
      <c r="AG191" s="1633"/>
      <c r="AH191" s="1633"/>
      <c r="AI191" s="1633"/>
      <c r="AJ191" s="1633"/>
      <c r="AK191" s="1633"/>
      <c r="AL191" s="2210"/>
      <c r="AM191" s="2210"/>
      <c r="AN191" s="1633"/>
      <c r="AO191" s="1633"/>
      <c r="AP191" s="1633"/>
      <c r="AQ191" s="1633"/>
    </row>
    <row s="37936" customFormat="1" customHeight="1" ht="17.25">
      <c r="A192" s="2206"/>
      <c r="C192" s="2211"/>
      <c r="D192" s="2196"/>
      <c r="E192" s="2213"/>
      <c r="F192" s="2150"/>
      <c r="G192" s="2214"/>
      <c r="H192" s="2196"/>
      <c r="I192" s="2196"/>
      <c r="J192" s="2218"/>
      <c r="K192" s="2214"/>
      <c r="L192" s="2196"/>
      <c r="M192" s="2196"/>
      <c r="N192" s="2216"/>
      <c r="O192" s="2153"/>
      <c r="P192" s="2403"/>
      <c r="Q192" s="2403"/>
      <c r="R192" s="2789"/>
      <c r="S192" s="2663"/>
      <c r="T192" s="1801"/>
      <c r="U192" s="1802"/>
      <c r="V192" s="1802"/>
      <c r="W192" s="2810"/>
      <c r="Y192" s="1625"/>
      <c r="Z192" s="1625"/>
      <c r="AA192" s="1625"/>
      <c r="AB192" s="1625"/>
      <c r="AC192" s="1625"/>
      <c r="AD192" s="1625"/>
      <c r="AE192" s="1625"/>
      <c r="AF192" s="1625"/>
      <c r="AG192" s="1625"/>
      <c r="AH192" s="1625"/>
      <c r="AI192" s="1625"/>
      <c r="AJ192" s="1625"/>
      <c r="AK192" s="1625"/>
    </row>
    <row customHeight="1" ht="17.25">
      <c r="A193" s="2217"/>
    </row>
    <row customHeight="1" ht="16.5">
      <c r="A194" s="2206"/>
      <c r="B194" s="2207"/>
      <c r="C194" s="2211"/>
      <c r="D194" s="2821"/>
      <c r="E194" s="2462"/>
      <c r="F194" s="2462"/>
      <c r="G194" s="2392"/>
      <c r="H194" s="2822"/>
      <c r="I194" s="2812"/>
      <c r="J194" s="2427"/>
      <c r="K194" s="2410"/>
      <c r="L194" s="2410"/>
      <c r="M194" s="2410"/>
      <c r="N194" s="2804"/>
      <c r="O194" s="2410"/>
      <c r="P194" s="2410"/>
      <c r="Q194" s="2410"/>
      <c r="R194" s="2814"/>
      <c r="S194" s="2410"/>
      <c r="T194" s="2149"/>
      <c r="U194" s="2149"/>
      <c r="V194" s="2219"/>
      <c r="W194" s="1662"/>
    </row>
    <row customHeight="1" ht="16.5">
      <c r="A195" s="2206"/>
      <c r="B195" s="2207"/>
      <c r="C195" s="2211"/>
      <c r="D195" s="2821"/>
      <c r="E195" s="2462"/>
      <c r="F195" s="2462"/>
      <c r="G195" s="2392"/>
      <c r="H195" s="2823"/>
      <c r="I195" s="2813"/>
      <c r="J195" s="2428"/>
      <c r="K195" s="2411"/>
      <c r="L195" s="2411"/>
      <c r="M195" s="2411"/>
      <c r="N195" s="2805"/>
      <c r="O195" s="2411"/>
      <c r="P195" s="2411"/>
      <c r="Q195" s="2411"/>
      <c r="R195" s="2806"/>
      <c r="S195" s="2411"/>
      <c r="T195" s="1663"/>
      <c r="U195" s="1663"/>
      <c r="V195" s="1663"/>
      <c r="W195" s="1664"/>
    </row>
    <row customHeight="1" ht="17.25">
      <c r="A196" s="2206"/>
      <c r="B196" s="2207"/>
      <c r="C196" s="2211"/>
      <c r="D196" s="2821"/>
      <c r="E196" s="2462"/>
      <c r="F196" s="2462"/>
      <c r="G196" s="2392"/>
      <c r="H196" s="2823"/>
      <c r="I196" s="2813"/>
      <c r="J196" s="2824"/>
      <c r="K196" s="2411"/>
      <c r="L196" s="2411"/>
      <c r="M196" s="2411"/>
      <c r="N196" s="2806"/>
      <c r="O196" s="2411"/>
      <c r="P196" s="2152"/>
      <c r="Q196" s="1663"/>
      <c r="R196" s="1663"/>
      <c r="S196" s="2220"/>
      <c r="T196" s="2220"/>
      <c r="U196" s="2220"/>
      <c r="V196" s="2220"/>
      <c r="W196" s="1664"/>
    </row>
    <row customHeight="1" ht="17.25">
      <c r="A197" s="2206"/>
      <c r="B197" s="2207"/>
      <c r="C197" s="2211"/>
      <c r="D197" s="2821"/>
      <c r="E197" s="2462"/>
      <c r="F197" s="2462"/>
      <c r="G197" s="2392"/>
      <c r="H197" s="2823"/>
      <c r="I197" s="2813"/>
      <c r="J197" s="2824"/>
      <c r="K197" s="2411"/>
      <c r="L197" s="1663"/>
      <c r="M197" s="1663"/>
      <c r="N197" s="1663"/>
      <c r="O197" s="1663"/>
      <c r="P197" s="1663"/>
      <c r="Q197" s="1663"/>
      <c r="R197" s="1663"/>
      <c r="S197" s="2220"/>
      <c r="T197" s="2220"/>
      <c r="U197" s="2220"/>
      <c r="V197" s="2220"/>
      <c r="W197" s="1664"/>
    </row>
    <row customHeight="1" ht="17.25">
      <c r="A198" s="2206"/>
      <c r="B198" s="2207"/>
      <c r="C198" s="2211"/>
      <c r="D198" s="2821"/>
      <c r="E198" s="2462"/>
      <c r="F198" s="2462"/>
      <c r="G198" s="2392"/>
      <c r="H198" s="1665"/>
      <c r="I198" s="1666"/>
      <c r="J198" s="1666"/>
      <c r="K198" s="1666"/>
      <c r="L198" s="1666"/>
      <c r="M198" s="1666"/>
      <c r="N198" s="1666"/>
      <c r="O198" s="1666"/>
      <c r="P198" s="1666"/>
      <c r="Q198" s="1666"/>
      <c r="R198" s="1666"/>
      <c r="S198" s="2221"/>
      <c r="T198" s="2221"/>
      <c r="U198" s="2221"/>
      <c r="V198" s="2221"/>
      <c r="W198" s="1668"/>
    </row>
    <row r="200" s="37744" customFormat="1" customHeight="1" ht="17.25">
      <c r="A200" s="2181" t="s">
        <v>1908</v>
      </c>
    </row>
    <row customHeight="1" ht="17.25">
      <c r="G201" s="2205"/>
      <c r="H201" s="2205"/>
      <c r="I201" s="2205"/>
      <c r="M201" s="2201"/>
    </row>
    <row s="31510" customFormat="1" customHeight="1" ht="15">
      <c r="D202" s="2840"/>
      <c r="E202" s="2457"/>
      <c r="F202" s="2457"/>
      <c r="G202" s="2465"/>
      <c r="H202" s="1930"/>
      <c r="I202" s="2841">
        <v>1</v>
      </c>
      <c r="J202" s="2810"/>
      <c r="K202" s="1945"/>
      <c r="L202" s="2465" t="s">
        <v>66</v>
      </c>
      <c r="M202" s="2465" t="s">
        <v>66</v>
      </c>
      <c r="N202" s="1930"/>
      <c r="O202" s="2403" t="s">
        <v>118</v>
      </c>
      <c r="P202" s="2835"/>
      <c r="Q202" s="1946"/>
      <c r="R202" s="2465" t="s">
        <v>66</v>
      </c>
      <c r="S202" s="2465" t="s">
        <v>66</v>
      </c>
      <c r="T202" s="2222"/>
      <c r="U202" s="2403" t="s">
        <v>118</v>
      </c>
      <c r="V202" s="2837" t="str">
        <f>IF(AK202="","",INDEX(TERRITORY_MR_LIST,MATCH(AK202,TERRITORY_LIST_ID,0)))</f>
        <v/>
      </c>
      <c r="W202" s="1947"/>
      <c r="X202" s="2465" t="s">
        <v>66</v>
      </c>
      <c r="Y202" s="2465" t="s">
        <v>56</v>
      </c>
      <c r="Z202" s="1930"/>
      <c r="AA202" s="2403" t="s">
        <v>118</v>
      </c>
      <c r="AB202" s="2839"/>
      <c r="AC202" s="1948"/>
      <c r="AD202" s="2465" t="s">
        <v>66</v>
      </c>
      <c r="AE202" s="2465" t="s">
        <v>56</v>
      </c>
      <c r="AF202" s="1928"/>
      <c r="AG202" s="2177" t="s">
        <v>118</v>
      </c>
      <c r="AH202" s="1938"/>
      <c r="AI202" s="2167"/>
    </row>
    <row s="31510" customFormat="1" customHeight="1" ht="15">
      <c r="D203" s="2840"/>
      <c r="E203" s="2457"/>
      <c r="F203" s="2457"/>
      <c r="G203" s="2466"/>
      <c r="H203" s="1930"/>
      <c r="I203" s="2841"/>
      <c r="J203" s="2810"/>
      <c r="K203" s="1929"/>
      <c r="L203" s="2466"/>
      <c r="M203" s="2466"/>
      <c r="N203" s="1930"/>
      <c r="O203" s="2403"/>
      <c r="P203" s="2835"/>
      <c r="Q203" s="1926"/>
      <c r="R203" s="2466"/>
      <c r="S203" s="2466"/>
      <c r="T203" s="2222"/>
      <c r="U203" s="2403"/>
      <c r="V203" s="2838"/>
      <c r="W203" s="1927"/>
      <c r="X203" s="2466"/>
      <c r="Y203" s="2466"/>
      <c r="Z203" s="1930"/>
      <c r="AA203" s="2403"/>
      <c r="AB203" s="2756"/>
      <c r="AC203" s="1931"/>
      <c r="AD203" s="2407"/>
      <c r="AE203" s="2407"/>
      <c r="AF203" s="1932"/>
      <c r="AG203" s="1933"/>
      <c r="AH203" s="2843" t="s">
        <v>1909</v>
      </c>
      <c r="AI203" s="2844"/>
    </row>
    <row s="31510" customFormat="1" customHeight="1" ht="15">
      <c r="D204" s="2840"/>
      <c r="E204" s="2457"/>
      <c r="F204" s="2457"/>
      <c r="G204" s="2466"/>
      <c r="H204" s="1930"/>
      <c r="I204" s="2841"/>
      <c r="J204" s="2810"/>
      <c r="K204" s="1929"/>
      <c r="L204" s="2466"/>
      <c r="M204" s="2466"/>
      <c r="N204" s="1930"/>
      <c r="O204" s="2403"/>
      <c r="P204" s="2835"/>
      <c r="Q204" s="1926"/>
      <c r="R204" s="2466"/>
      <c r="S204" s="2466"/>
      <c r="T204" s="2222"/>
      <c r="U204" s="2403"/>
      <c r="V204" s="2838"/>
      <c r="W204" s="1927"/>
      <c r="X204" s="2466"/>
      <c r="Y204" s="2466"/>
      <c r="Z204" s="1969"/>
      <c r="AA204" s="1935"/>
      <c r="AB204" s="2845" t="s">
        <v>1910</v>
      </c>
      <c r="AC204" s="2845"/>
      <c r="AD204" s="2845"/>
      <c r="AE204" s="2845"/>
      <c r="AF204" s="2845"/>
      <c r="AG204" s="2845"/>
      <c r="AH204" s="2845"/>
      <c r="AI204" s="2846"/>
    </row>
    <row s="31510" customFormat="1" customHeight="1" ht="15">
      <c r="D205" s="2840"/>
      <c r="E205" s="2457"/>
      <c r="F205" s="2457"/>
      <c r="G205" s="2466"/>
      <c r="H205" s="1930"/>
      <c r="I205" s="2841"/>
      <c r="J205" s="2810"/>
      <c r="K205" s="1929"/>
      <c r="L205" s="2466"/>
      <c r="M205" s="2466"/>
      <c r="N205" s="1930"/>
      <c r="O205" s="2403"/>
      <c r="P205" s="2847"/>
      <c r="Q205" s="1926"/>
      <c r="R205" s="2466"/>
      <c r="S205" s="2466"/>
      <c r="T205" s="2223"/>
      <c r="U205" s="1970"/>
      <c r="V205" s="2843" t="s">
        <v>112</v>
      </c>
      <c r="W205" s="2843"/>
      <c r="X205" s="2843"/>
      <c r="Y205" s="2843"/>
      <c r="Z205" s="2843"/>
      <c r="AA205" s="2843"/>
      <c r="AB205" s="2843"/>
      <c r="AC205" s="2843"/>
      <c r="AD205" s="2843"/>
      <c r="AE205" s="2843"/>
      <c r="AF205" s="2843"/>
      <c r="AG205" s="2843"/>
      <c r="AH205" s="2843"/>
      <c r="AI205" s="2844"/>
    </row>
    <row s="31510" customFormat="1" customHeight="1" ht="11.25">
      <c r="D206" s="2840"/>
      <c r="E206" s="2457"/>
      <c r="F206" s="2457"/>
      <c r="G206" s="2466"/>
      <c r="H206" s="1934"/>
      <c r="I206" s="2841"/>
      <c r="J206" s="2842"/>
      <c r="K206" s="1929"/>
      <c r="L206" s="2466"/>
      <c r="M206" s="2466"/>
      <c r="N206" s="1934"/>
      <c r="O206" s="1935"/>
      <c r="P206" s="2843" t="s">
        <v>1911</v>
      </c>
      <c r="Q206" s="2843"/>
      <c r="R206" s="2843"/>
      <c r="S206" s="2843"/>
      <c r="T206" s="2843"/>
      <c r="U206" s="2843"/>
      <c r="V206" s="2843"/>
      <c r="W206" s="2843"/>
      <c r="X206" s="2843"/>
      <c r="Y206" s="2843"/>
      <c r="Z206" s="2843"/>
      <c r="AA206" s="2843"/>
      <c r="AB206" s="2843"/>
      <c r="AC206" s="2843"/>
      <c r="AD206" s="2843"/>
      <c r="AE206" s="2843"/>
      <c r="AF206" s="2843"/>
      <c r="AG206" s="2843"/>
      <c r="AH206" s="2843"/>
      <c r="AI206" s="2844"/>
    </row>
    <row s="31850" customFormat="1" customHeight="1" ht="11.25">
      <c r="D207" s="2840"/>
      <c r="E207" s="2457"/>
      <c r="F207" s="2457"/>
      <c r="G207" s="2407"/>
      <c r="H207" s="1936"/>
      <c r="I207" s="1937"/>
      <c r="J207" s="2843" t="s">
        <v>294</v>
      </c>
      <c r="K207" s="2843"/>
      <c r="L207" s="2843"/>
      <c r="M207" s="2843"/>
      <c r="N207" s="2843"/>
      <c r="O207" s="2843"/>
      <c r="P207" s="2843"/>
      <c r="Q207" s="2843"/>
      <c r="R207" s="2843"/>
      <c r="S207" s="2843"/>
      <c r="T207" s="2843"/>
      <c r="U207" s="2843"/>
      <c r="V207" s="2843"/>
      <c r="W207" s="2843"/>
      <c r="X207" s="2843"/>
      <c r="Y207" s="2843"/>
      <c r="Z207" s="2843"/>
      <c r="AA207" s="2843"/>
      <c r="AB207" s="2843"/>
      <c r="AC207" s="2843"/>
      <c r="AD207" s="2843"/>
      <c r="AE207" s="2843"/>
      <c r="AF207" s="2843"/>
      <c r="AG207" s="2843"/>
      <c r="AH207" s="2843"/>
      <c r="AI207" s="2844"/>
      <c r="BK207" s="1940"/>
    </row>
    <row customHeight="1" ht="17.25">
      <c r="G208" s="2205"/>
      <c r="I208" s="2205"/>
      <c r="J208" s="2205"/>
      <c r="N208" s="2201"/>
    </row>
    <row s="31510" customFormat="1" customHeight="1" ht="15">
      <c r="D209" s="2840"/>
      <c r="E209" s="2457"/>
      <c r="F209" s="2457"/>
      <c r="G209" s="2462"/>
      <c r="H209" s="1965"/>
      <c r="I209" s="2467"/>
      <c r="J209" s="2427"/>
      <c r="K209" s="2151"/>
      <c r="L209" s="2410"/>
      <c r="M209" s="2410"/>
      <c r="N209" s="1950"/>
      <c r="O209" s="2410"/>
      <c r="P209" s="2427"/>
      <c r="Q209" s="2155"/>
      <c r="R209" s="2410"/>
      <c r="S209" s="2410"/>
      <c r="T209" s="2224"/>
      <c r="U209" s="2410"/>
      <c r="V209" s="2427"/>
      <c r="W209" s="1953"/>
      <c r="X209" s="2410"/>
      <c r="Y209" s="2410"/>
      <c r="Z209" s="1950"/>
      <c r="AA209" s="2410"/>
      <c r="AB209" s="2427"/>
      <c r="AC209" s="1954"/>
      <c r="AD209" s="2410"/>
      <c r="AE209" s="2410"/>
      <c r="AF209" s="2149"/>
      <c r="AG209" s="2149"/>
      <c r="AH209" s="1955"/>
      <c r="AI209" s="1662"/>
    </row>
    <row s="31510" customFormat="1" customHeight="1" ht="15">
      <c r="D210" s="2840"/>
      <c r="E210" s="2457"/>
      <c r="F210" s="2457"/>
      <c r="G210" s="2462"/>
      <c r="H210" s="1966"/>
      <c r="I210" s="2468"/>
      <c r="J210" s="2428"/>
      <c r="K210" s="1976"/>
      <c r="L210" s="2411"/>
      <c r="M210" s="2411"/>
      <c r="N210" s="1956"/>
      <c r="O210" s="2411"/>
      <c r="P210" s="2428"/>
      <c r="Q210" s="2156"/>
      <c r="R210" s="2411"/>
      <c r="S210" s="2411"/>
      <c r="T210" s="2225"/>
      <c r="U210" s="2411"/>
      <c r="V210" s="2428"/>
      <c r="W210" s="1959"/>
      <c r="X210" s="2411"/>
      <c r="Y210" s="2411"/>
      <c r="Z210" s="1956"/>
      <c r="AA210" s="2411"/>
      <c r="AB210" s="2428"/>
      <c r="AC210" s="1960"/>
      <c r="AD210" s="2411"/>
      <c r="AE210" s="2411"/>
      <c r="AF210" s="2154"/>
      <c r="AG210" s="2154"/>
      <c r="AH210" s="2471"/>
      <c r="AI210" s="2472"/>
    </row>
    <row s="31510" customFormat="1" customHeight="1" ht="15">
      <c r="D211" s="2840"/>
      <c r="E211" s="2457"/>
      <c r="F211" s="2457"/>
      <c r="G211" s="2462"/>
      <c r="H211" s="1966"/>
      <c r="I211" s="2468"/>
      <c r="J211" s="2428"/>
      <c r="K211" s="1976"/>
      <c r="L211" s="2411"/>
      <c r="M211" s="2411"/>
      <c r="N211" s="1956"/>
      <c r="O211" s="2411"/>
      <c r="P211" s="2428"/>
      <c r="Q211" s="2156"/>
      <c r="R211" s="2411"/>
      <c r="S211" s="2411"/>
      <c r="T211" s="2225"/>
      <c r="U211" s="2411"/>
      <c r="V211" s="2428"/>
      <c r="W211" s="1959"/>
      <c r="X211" s="2411"/>
      <c r="Y211" s="2411"/>
      <c r="Z211" s="2152"/>
      <c r="AA211" s="2154"/>
      <c r="AB211" s="2471"/>
      <c r="AC211" s="2471"/>
      <c r="AD211" s="2471"/>
      <c r="AE211" s="2471"/>
      <c r="AF211" s="2471"/>
      <c r="AG211" s="2471"/>
      <c r="AH211" s="2471"/>
      <c r="AI211" s="2472"/>
    </row>
    <row s="31510" customFormat="1" customHeight="1" ht="15">
      <c r="D212" s="2840"/>
      <c r="E212" s="2457"/>
      <c r="F212" s="2457"/>
      <c r="G212" s="2462"/>
      <c r="H212" s="1966"/>
      <c r="I212" s="2468"/>
      <c r="J212" s="2428"/>
      <c r="K212" s="1976"/>
      <c r="L212" s="2411"/>
      <c r="M212" s="2411"/>
      <c r="N212" s="1956"/>
      <c r="O212" s="2411"/>
      <c r="P212" s="2428"/>
      <c r="Q212" s="2156"/>
      <c r="R212" s="2411"/>
      <c r="S212" s="2411"/>
      <c r="T212" s="2226"/>
      <c r="U212" s="1963"/>
      <c r="V212" s="2471"/>
      <c r="W212" s="2471"/>
      <c r="X212" s="2471"/>
      <c r="Y212" s="2471"/>
      <c r="Z212" s="2471"/>
      <c r="AA212" s="2471"/>
      <c r="AB212" s="2471"/>
      <c r="AC212" s="2471"/>
      <c r="AD212" s="2471"/>
      <c r="AE212" s="2471"/>
      <c r="AF212" s="2471"/>
      <c r="AG212" s="2471"/>
      <c r="AH212" s="2471"/>
      <c r="AI212" s="2472"/>
    </row>
    <row s="31510" customFormat="1" customHeight="1" ht="11.25">
      <c r="D213" s="2840"/>
      <c r="E213" s="2457"/>
      <c r="F213" s="2457"/>
      <c r="G213" s="2462"/>
      <c r="H213" s="1967"/>
      <c r="I213" s="2468"/>
      <c r="J213" s="2428"/>
      <c r="K213" s="1976"/>
      <c r="L213" s="2411"/>
      <c r="M213" s="2411"/>
      <c r="N213" s="2154"/>
      <c r="O213" s="2154"/>
      <c r="P213" s="2471"/>
      <c r="Q213" s="2471"/>
      <c r="R213" s="2471"/>
      <c r="S213" s="2471"/>
      <c r="T213" s="2471"/>
      <c r="U213" s="2471"/>
      <c r="V213" s="2471"/>
      <c r="W213" s="2471"/>
      <c r="X213" s="2471"/>
      <c r="Y213" s="2471"/>
      <c r="Z213" s="2471"/>
      <c r="AA213" s="2471"/>
      <c r="AB213" s="2471"/>
      <c r="AC213" s="2471"/>
      <c r="AD213" s="2471"/>
      <c r="AE213" s="2471"/>
      <c r="AF213" s="2471"/>
      <c r="AG213" s="2471"/>
      <c r="AH213" s="2471"/>
      <c r="AI213" s="2472"/>
    </row>
    <row s="31850" customFormat="1" customHeight="1" ht="11.25">
      <c r="D214" s="2840"/>
      <c r="E214" s="2457"/>
      <c r="F214" s="2457"/>
      <c r="G214" s="2473"/>
      <c r="H214" s="1964"/>
      <c r="I214" s="1968"/>
      <c r="J214" s="2469"/>
      <c r="K214" s="2469"/>
      <c r="L214" s="2469"/>
      <c r="M214" s="2469"/>
      <c r="N214" s="2469"/>
      <c r="O214" s="2469"/>
      <c r="P214" s="2469"/>
      <c r="Q214" s="2469"/>
      <c r="R214" s="2469"/>
      <c r="S214" s="2469"/>
      <c r="T214" s="2469"/>
      <c r="U214" s="2469"/>
      <c r="V214" s="2469"/>
      <c r="W214" s="2469"/>
      <c r="X214" s="2469"/>
      <c r="Y214" s="2469"/>
      <c r="Z214" s="2469"/>
      <c r="AA214" s="2469"/>
      <c r="AB214" s="2469"/>
      <c r="AC214" s="2469"/>
      <c r="AD214" s="2469"/>
      <c r="AE214" s="2469"/>
      <c r="AF214" s="2469"/>
      <c r="AG214" s="2469"/>
      <c r="AH214" s="2469"/>
      <c r="AI214" s="2470"/>
      <c r="BK214" s="1940"/>
    </row>
    <row customHeight="1" ht="17.25">
      <c r="A215" s="2217"/>
    </row>
  </sheetData>
  <sheetProtection formatColumns="0" formatRows="0" sort="0" autoFilter="0" insertRows="0" insertColumns="1" deleteRows="0" deleteColumns="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6 H64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77B53-87C4-9E82-B39F-ABE0761D1D4F}"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31920" width="9.140625" hidden="1"/>
    <col min="3" max="4" style="31920" width="3.7109375" customWidth="1"/>
    <col min="5" max="6" style="31920" width="16.00390625" customWidth="1"/>
    <col min="7" max="7" style="31920" width="11.57421875" customWidth="1"/>
    <col min="8" max="9" style="31920" width="3.7109375" customWidth="1"/>
    <col min="10" max="10" style="31920" width="13.140625" customWidth="1"/>
    <col min="11" max="11" style="31920" width="0.28125" customWidth="1"/>
    <col min="12" max="13" style="31920" width="10.7109375" customWidth="1"/>
    <col min="14" max="15" style="31920" width="3.7109375" customWidth="1"/>
    <col min="16" max="16" style="31920" width="19.7109375" customWidth="1"/>
    <col min="17" max="17" style="31920" width="0.28125" customWidth="1"/>
    <col min="18" max="19" style="31920" width="10.7109375" customWidth="1"/>
    <col min="20" max="21" style="31920" width="3.7109375" customWidth="1"/>
    <col min="22" max="22" style="31920" width="25.7109375" customWidth="1"/>
    <col min="23" max="23" style="31920" width="0.28125" customWidth="1"/>
    <col min="24" max="25" style="31920" width="10.7109375" customWidth="1"/>
    <col min="26" max="27" style="31920" width="3.7109375" customWidth="1"/>
    <col min="28" max="28" style="31920" width="16.421875" customWidth="1"/>
    <col min="29" max="29" style="31920" width="0.28125" customWidth="1"/>
    <col min="30" max="31" style="31920" width="10.7109375" customWidth="1"/>
    <col min="32" max="33" style="31920" width="3.7109375" customWidth="1"/>
    <col min="34" max="34" style="31920" width="8.7109375" customWidth="1"/>
    <col min="35" max="35" style="31920" width="21.7109375" customWidth="1"/>
    <col min="36" max="36" style="31510" width="9.140625"/>
    <col min="37" max="37" style="31921" width="9.140625"/>
    <col min="38" max="64" style="31510" width="9.140625"/>
  </cols>
  <sheetData>
    <row s="31846" customFormat="1" customHeight="1" ht="11.25" hidden="1">
      <c r="AJ1" s="783"/>
      <c r="AK1" s="783"/>
      <c r="AL1" s="783"/>
      <c r="AM1" s="783"/>
      <c r="AN1" s="783"/>
      <c r="AO1" s="783"/>
      <c r="AP1" s="783"/>
      <c r="AQ1" s="783"/>
      <c r="AR1" s="783"/>
      <c r="AS1" s="783"/>
      <c r="AT1" s="783"/>
      <c r="AU1" s="783"/>
      <c r="AV1" s="783"/>
      <c r="AW1" s="783"/>
      <c r="AX1" s="783"/>
      <c r="AY1" s="783"/>
      <c r="AZ1" s="783"/>
      <c r="BA1" s="783"/>
      <c r="BB1" s="783"/>
      <c r="BC1" s="783"/>
      <c r="BD1" s="783"/>
      <c r="BE1" s="783"/>
      <c r="BF1" s="783"/>
      <c r="BG1" s="783"/>
      <c r="BH1" s="783"/>
      <c r="BI1" s="783"/>
      <c r="BJ1" s="783"/>
      <c r="BK1" s="783"/>
      <c r="BL1" s="783"/>
    </row>
    <row s="31847" customFormat="1" customHeight="1" ht="11.25" hidden="1">
      <c r="L2" s="1919" t="s">
        <v>320</v>
      </c>
      <c r="M2" s="1919" t="s">
        <v>321</v>
      </c>
      <c r="R2" s="1919" t="s">
        <v>322</v>
      </c>
      <c r="S2" s="1919" t="s">
        <v>321</v>
      </c>
      <c r="X2" s="1919" t="s">
        <v>320</v>
      </c>
      <c r="Y2" s="1919" t="s">
        <v>321</v>
      </c>
      <c r="AD2" s="1919" t="s">
        <v>320</v>
      </c>
      <c r="AE2" s="1919" t="s">
        <v>321</v>
      </c>
      <c r="AJ2" s="1941"/>
      <c r="AK2" s="1941"/>
      <c r="AL2" s="1941"/>
      <c r="AM2" s="1941"/>
      <c r="AN2" s="1941"/>
      <c r="AO2" s="1941"/>
      <c r="AP2" s="1941"/>
      <c r="AQ2" s="1941"/>
      <c r="AR2" s="1941"/>
      <c r="AS2" s="1941"/>
      <c r="AT2" s="1941"/>
      <c r="AU2" s="1941"/>
      <c r="AV2" s="1941"/>
      <c r="AW2" s="1941"/>
      <c r="AX2" s="1941"/>
      <c r="AY2" s="1941"/>
      <c r="AZ2" s="1941"/>
      <c r="BA2" s="1941"/>
      <c r="BB2" s="1941"/>
      <c r="BC2" s="1941"/>
      <c r="BD2" s="1941"/>
      <c r="BE2" s="1941"/>
      <c r="BF2" s="1941"/>
      <c r="BG2" s="1941"/>
      <c r="BH2" s="1941"/>
      <c r="BI2" s="1941"/>
      <c r="BJ2" s="1941"/>
      <c r="BK2" s="1941"/>
      <c r="BL2" s="1941"/>
    </row>
    <row s="31850" customFormat="1" customHeight="1" ht="11.25">
      <c r="AJ3" s="1940"/>
      <c r="AK3" s="667"/>
      <c r="AL3" s="1940"/>
      <c r="AM3" s="1940"/>
      <c r="AN3" s="1940"/>
      <c r="AO3" s="1940"/>
      <c r="AP3" s="1940"/>
      <c r="AQ3" s="1940"/>
      <c r="AR3" s="1940"/>
      <c r="AS3" s="1940"/>
      <c r="AT3" s="1940"/>
      <c r="AU3" s="1940"/>
      <c r="AV3" s="1940"/>
      <c r="AW3" s="1940"/>
      <c r="AX3" s="1940"/>
      <c r="AY3" s="1940"/>
      <c r="AZ3" s="1940"/>
      <c r="BA3" s="1940"/>
      <c r="BB3" s="1940"/>
      <c r="BC3" s="1940"/>
      <c r="BD3" s="1940"/>
      <c r="BE3" s="1940"/>
      <c r="BF3" s="1940"/>
      <c r="BG3" s="1940"/>
      <c r="BH3" s="1940"/>
      <c r="BI3" s="1940"/>
      <c r="BJ3" s="1940"/>
      <c r="BK3" s="1940"/>
      <c r="BL3" s="1940"/>
    </row>
    <row s="31501" customFormat="1" customHeight="1" ht="33">
      <c r="A4" s="1519"/>
      <c r="B4" s="1518"/>
      <c r="C4" s="1881"/>
      <c r="D4" s="2448" t="s">
        <v>323</v>
      </c>
      <c r="E4" s="2448"/>
      <c r="F4" s="2448"/>
      <c r="G4" s="2448"/>
      <c r="H4" s="2448"/>
      <c r="I4" s="2448"/>
      <c r="J4" s="2448"/>
      <c r="K4" s="1060"/>
      <c r="T4" s="1921"/>
      <c r="AJ4" s="1942"/>
      <c r="AK4" s="1943"/>
      <c r="AL4" s="1942"/>
      <c r="AM4" s="1942"/>
      <c r="AN4" s="1942"/>
      <c r="AO4" s="1942"/>
      <c r="AP4" s="1942"/>
      <c r="AQ4" s="1942"/>
      <c r="AR4" s="1942"/>
      <c r="AS4" s="1942"/>
      <c r="AT4" s="1942"/>
      <c r="AU4" s="1942"/>
      <c r="AV4" s="1942"/>
      <c r="AW4" s="1942"/>
      <c r="AX4" s="1942"/>
      <c r="AY4" s="1942"/>
      <c r="AZ4" s="1942"/>
      <c r="BA4" s="1942"/>
      <c r="BB4" s="1942"/>
      <c r="BC4" s="1942"/>
      <c r="BD4" s="1942"/>
      <c r="BE4" s="1942"/>
      <c r="BF4" s="1942"/>
      <c r="BG4" s="1942"/>
      <c r="BH4" s="1942"/>
      <c r="BI4" s="1942"/>
      <c r="BJ4" s="1942"/>
      <c r="BK4" s="1942"/>
      <c r="BL4" s="1942"/>
    </row>
    <row s="31861" customFormat="1" customHeight="1" ht="14.25">
      <c r="A5" s="1998"/>
      <c r="B5" s="1997"/>
      <c r="C5" s="1881"/>
      <c r="D5" s="2474" t="str">
        <f>IF(org=0,"Не определено",org)</f>
        <v>АО "Мурманэнергосбыт"</v>
      </c>
      <c r="E5" s="2474"/>
      <c r="F5" s="2474"/>
      <c r="G5" s="2474"/>
      <c r="H5" s="2474"/>
      <c r="I5" s="2474"/>
      <c r="J5" s="2474"/>
      <c r="K5" s="1060"/>
      <c r="T5" s="1921"/>
      <c r="AJ5" s="1942"/>
      <c r="AK5" s="1943"/>
      <c r="AL5" s="1942"/>
      <c r="AM5" s="1942"/>
      <c r="AN5" s="1942"/>
      <c r="AO5" s="1942"/>
      <c r="AP5" s="1942"/>
      <c r="AQ5" s="1942"/>
      <c r="AR5" s="1942"/>
      <c r="AS5" s="1942"/>
      <c r="AT5" s="1942"/>
      <c r="AU5" s="1942"/>
      <c r="AV5" s="1942"/>
      <c r="AW5" s="1942"/>
      <c r="AX5" s="1942"/>
      <c r="AY5" s="1942"/>
      <c r="AZ5" s="1942"/>
      <c r="BA5" s="1942"/>
      <c r="BB5" s="1942"/>
      <c r="BC5" s="1942"/>
      <c r="BD5" s="1942"/>
      <c r="BE5" s="1942"/>
      <c r="BF5" s="1942"/>
      <c r="BG5" s="1942"/>
      <c r="BH5" s="1942"/>
      <c r="BI5" s="1942"/>
      <c r="BJ5" s="1942"/>
      <c r="BK5" s="1942"/>
      <c r="BL5" s="1942"/>
    </row>
    <row s="31501" customFormat="1" customHeight="1" ht="14.25">
      <c r="A6" s="1519"/>
      <c r="B6" s="1518"/>
      <c r="C6" s="1881"/>
      <c r="D6" s="1060"/>
      <c r="E6" s="1060"/>
      <c r="F6" s="1060"/>
      <c r="G6" s="1060"/>
      <c r="H6" s="1060"/>
      <c r="I6" s="1060"/>
      <c r="J6" s="1060"/>
      <c r="K6" s="1060"/>
      <c r="T6" s="1921"/>
      <c r="AJ6" s="1942"/>
      <c r="AK6" s="1943"/>
      <c r="AL6" s="1942"/>
      <c r="AM6" s="1942"/>
      <c r="AN6" s="1942"/>
      <c r="AO6" s="1942"/>
      <c r="AP6" s="1942"/>
      <c r="AQ6" s="1942"/>
      <c r="AR6" s="1942"/>
      <c r="AS6" s="1942"/>
      <c r="AT6" s="1942"/>
      <c r="AU6" s="1942"/>
      <c r="AV6" s="1942"/>
      <c r="AW6" s="1942"/>
      <c r="AX6" s="1942"/>
      <c r="AY6" s="1942"/>
      <c r="AZ6" s="1942"/>
      <c r="BA6" s="1942"/>
      <c r="BB6" s="1942"/>
      <c r="BC6" s="1942"/>
      <c r="BD6" s="1942"/>
      <c r="BE6" s="1942"/>
      <c r="BF6" s="1942"/>
      <c r="BG6" s="1942"/>
      <c r="BH6" s="1942"/>
      <c r="BI6" s="1942"/>
      <c r="BJ6" s="1942"/>
      <c r="BK6" s="1942"/>
      <c r="BL6" s="1942"/>
    </row>
    <row s="31846" customFormat="1" customHeight="1" ht="0.75">
      <c r="AJ7" s="783"/>
      <c r="AK7" s="783"/>
      <c r="AL7" s="783"/>
      <c r="AM7" s="783"/>
      <c r="AN7" s="783"/>
      <c r="AO7" s="783"/>
      <c r="AP7" s="783"/>
      <c r="AQ7" s="783"/>
      <c r="AR7" s="783"/>
      <c r="AS7" s="783"/>
      <c r="AT7" s="783"/>
      <c r="AU7" s="783"/>
      <c r="AV7" s="783"/>
      <c r="AW7" s="783"/>
      <c r="AX7" s="783"/>
      <c r="AY7" s="783"/>
      <c r="AZ7" s="783"/>
      <c r="BA7" s="783"/>
      <c r="BB7" s="783"/>
      <c r="BC7" s="783"/>
      <c r="BD7" s="783"/>
      <c r="BE7" s="783"/>
      <c r="BF7" s="783"/>
      <c r="BG7" s="783"/>
      <c r="BH7" s="783"/>
      <c r="BI7" s="783"/>
      <c r="BJ7" s="783"/>
      <c r="BK7" s="783"/>
      <c r="BL7" s="783"/>
    </row>
    <row customHeight="1" ht="31.5">
      <c r="D8" s="2392" t="s">
        <v>87</v>
      </c>
      <c r="E8" s="2392" t="s">
        <v>114</v>
      </c>
      <c r="F8" s="2450" t="s">
        <v>130</v>
      </c>
      <c r="G8" s="2451"/>
      <c r="H8" s="2450" t="s">
        <v>87</v>
      </c>
      <c r="I8" s="2451"/>
      <c r="J8" s="2392" t="s">
        <v>131</v>
      </c>
      <c r="K8" s="1922"/>
      <c r="L8" s="2454" t="s">
        <v>324</v>
      </c>
      <c r="M8" s="2454"/>
      <c r="N8" s="2454"/>
      <c r="O8" s="2454"/>
      <c r="P8" s="2454"/>
      <c r="Q8" s="1923"/>
      <c r="R8" s="2371" t="s">
        <v>325</v>
      </c>
      <c r="S8" s="2455"/>
      <c r="T8" s="2455"/>
      <c r="U8" s="2455"/>
      <c r="V8" s="2455"/>
      <c r="W8" s="1923"/>
      <c r="X8" s="2456" t="s">
        <v>326</v>
      </c>
      <c r="Y8" s="2456"/>
      <c r="Z8" s="2456"/>
      <c r="AA8" s="2456"/>
      <c r="AB8" s="2456"/>
      <c r="AC8" s="1924"/>
      <c r="AD8" s="2392" t="s">
        <v>327</v>
      </c>
      <c r="AE8" s="2392"/>
      <c r="AF8" s="2392"/>
      <c r="AG8" s="2392"/>
      <c r="AH8" s="2376"/>
      <c r="AI8" s="2392" t="s">
        <v>328</v>
      </c>
      <c r="AJ8" s="1940"/>
    </row>
    <row customHeight="1" ht="22.5">
      <c r="D9" s="2392"/>
      <c r="E9" s="2392"/>
      <c r="F9" s="2449" t="s">
        <v>88</v>
      </c>
      <c r="G9" s="2449" t="s">
        <v>136</v>
      </c>
      <c r="H9" s="2452"/>
      <c r="I9" s="2453"/>
      <c r="J9" s="2376"/>
      <c r="K9" s="1925"/>
      <c r="L9" s="2392" t="s">
        <v>329</v>
      </c>
      <c r="M9" s="2376"/>
      <c r="N9" s="2450" t="s">
        <v>87</v>
      </c>
      <c r="O9" s="2451"/>
      <c r="P9" s="2392" t="s">
        <v>137</v>
      </c>
      <c r="Q9" s="1922"/>
      <c r="R9" s="2392" t="s">
        <v>329</v>
      </c>
      <c r="S9" s="2376"/>
      <c r="T9" s="2450" t="s">
        <v>87</v>
      </c>
      <c r="U9" s="2451"/>
      <c r="V9" s="2392" t="s">
        <v>137</v>
      </c>
      <c r="W9" s="1922"/>
      <c r="X9" s="2392" t="s">
        <v>329</v>
      </c>
      <c r="Y9" s="2376"/>
      <c r="Z9" s="2450" t="s">
        <v>87</v>
      </c>
      <c r="AA9" s="2451"/>
      <c r="AB9" s="2392" t="s">
        <v>330</v>
      </c>
      <c r="AC9" s="1922"/>
      <c r="AD9" s="2392" t="s">
        <v>329</v>
      </c>
      <c r="AE9" s="2376"/>
      <c r="AF9" s="2450" t="s">
        <v>87</v>
      </c>
      <c r="AG9" s="2451"/>
      <c r="AH9" s="2376" t="s">
        <v>330</v>
      </c>
      <c r="AI9" s="2392"/>
      <c r="AJ9" s="1940"/>
    </row>
    <row customHeight="1" ht="22.5">
      <c r="D10" s="2449"/>
      <c r="E10" s="2449"/>
      <c r="F10" s="2457"/>
      <c r="G10" s="2457"/>
      <c r="H10" s="2458"/>
      <c r="I10" s="2459"/>
      <c r="J10" s="2450"/>
      <c r="K10" s="1925"/>
      <c r="L10" s="1944" t="s">
        <v>331</v>
      </c>
      <c r="M10" s="1939" t="s">
        <v>332</v>
      </c>
      <c r="N10" s="2452"/>
      <c r="O10" s="2453"/>
      <c r="P10" s="2449"/>
      <c r="Q10" s="1922"/>
      <c r="R10" s="1944" t="s">
        <v>331</v>
      </c>
      <c r="S10" s="1939" t="s">
        <v>332</v>
      </c>
      <c r="T10" s="2452"/>
      <c r="U10" s="2453"/>
      <c r="V10" s="2449"/>
      <c r="W10" s="1922"/>
      <c r="X10" s="1944" t="s">
        <v>331</v>
      </c>
      <c r="Y10" s="1939" t="s">
        <v>332</v>
      </c>
      <c r="Z10" s="2452"/>
      <c r="AA10" s="2453"/>
      <c r="AB10" s="2449"/>
      <c r="AC10" s="1922"/>
      <c r="AD10" s="1944" t="s">
        <v>331</v>
      </c>
      <c r="AE10" s="1939" t="s">
        <v>332</v>
      </c>
      <c r="AF10" s="2452"/>
      <c r="AG10" s="2453"/>
      <c r="AH10" s="2450"/>
      <c r="AI10" s="2449"/>
      <c r="AJ10" s="1940"/>
      <c r="AK10" s="615" t="s">
        <v>333</v>
      </c>
      <c r="AL10" s="615" t="s">
        <v>138</v>
      </c>
    </row>
    <row customHeight="1" ht="14.25">
      <c r="D11" s="2460" t="s">
        <v>118</v>
      </c>
      <c r="E11" s="2462" t="s">
        <v>334</v>
      </c>
      <c r="F11" s="2462" t="s">
        <v>335</v>
      </c>
      <c r="G11" s="2465" t="s">
        <v>56</v>
      </c>
      <c r="H11" s="1965"/>
      <c r="I11" s="2467"/>
      <c r="J11" s="2427"/>
      <c r="K11" s="1880"/>
      <c r="L11" s="2410"/>
      <c r="M11" s="2410"/>
      <c r="N11" s="1950"/>
      <c r="O11" s="2410"/>
      <c r="P11" s="2427"/>
      <c r="Q11" s="1951"/>
      <c r="R11" s="2410"/>
      <c r="S11" s="2410"/>
      <c r="T11" s="1952"/>
      <c r="U11" s="2410"/>
      <c r="V11" s="2427"/>
      <c r="W11" s="1953"/>
      <c r="X11" s="2410"/>
      <c r="Y11" s="2410"/>
      <c r="Z11" s="1950"/>
      <c r="AA11" s="2410"/>
      <c r="AB11" s="2427"/>
      <c r="AC11" s="1954"/>
      <c r="AD11" s="2410"/>
      <c r="AE11" s="2410"/>
      <c r="AF11" s="1879"/>
      <c r="AG11" s="1879"/>
      <c r="AH11" s="1955"/>
      <c r="AI11" s="1662"/>
      <c r="AJ11" s="1940"/>
    </row>
    <row customHeight="1" ht="14.25">
      <c r="D12" s="2460"/>
      <c r="E12" s="2462"/>
      <c r="F12" s="2462"/>
      <c r="G12" s="2466"/>
      <c r="H12" s="1966"/>
      <c r="I12" s="2468"/>
      <c r="J12" s="2428"/>
      <c r="K12" s="1976"/>
      <c r="L12" s="2411"/>
      <c r="M12" s="2411"/>
      <c r="N12" s="1956"/>
      <c r="O12" s="2411"/>
      <c r="P12" s="2428"/>
      <c r="Q12" s="1957"/>
      <c r="R12" s="2411"/>
      <c r="S12" s="2411"/>
      <c r="T12" s="1958"/>
      <c r="U12" s="2411"/>
      <c r="V12" s="2428"/>
      <c r="W12" s="1959"/>
      <c r="X12" s="2411"/>
      <c r="Y12" s="2411"/>
      <c r="Z12" s="1956"/>
      <c r="AA12" s="2411"/>
      <c r="AB12" s="2428"/>
      <c r="AC12" s="1960"/>
      <c r="AD12" s="2411"/>
      <c r="AE12" s="2411"/>
      <c r="AF12" s="1961"/>
      <c r="AG12" s="1961"/>
      <c r="AH12" s="2471"/>
      <c r="AI12" s="2472"/>
      <c r="AJ12" s="1940"/>
    </row>
    <row customHeight="1" ht="14.25">
      <c r="D13" s="2460"/>
      <c r="E13" s="2462"/>
      <c r="F13" s="2462"/>
      <c r="G13" s="2466"/>
      <c r="H13" s="1966"/>
      <c r="I13" s="2468"/>
      <c r="J13" s="2428"/>
      <c r="K13" s="1976"/>
      <c r="L13" s="2411"/>
      <c r="M13" s="2411"/>
      <c r="N13" s="1956"/>
      <c r="O13" s="2411"/>
      <c r="P13" s="2428"/>
      <c r="Q13" s="1957"/>
      <c r="R13" s="2411"/>
      <c r="S13" s="2411"/>
      <c r="T13" s="1958"/>
      <c r="U13" s="2411"/>
      <c r="V13" s="2428"/>
      <c r="W13" s="1959"/>
      <c r="X13" s="2411"/>
      <c r="Y13" s="2411"/>
      <c r="Z13" s="1878"/>
      <c r="AA13" s="1961"/>
      <c r="AB13" s="2471"/>
      <c r="AC13" s="2471"/>
      <c r="AD13" s="2471"/>
      <c r="AE13" s="2471"/>
      <c r="AF13" s="2471"/>
      <c r="AG13" s="2471"/>
      <c r="AH13" s="2471"/>
      <c r="AI13" s="2472"/>
      <c r="AJ13" s="1940"/>
    </row>
    <row customHeight="1" ht="14.25">
      <c r="D14" s="2460"/>
      <c r="E14" s="2462"/>
      <c r="F14" s="2462"/>
      <c r="G14" s="2466"/>
      <c r="H14" s="1966"/>
      <c r="I14" s="2468"/>
      <c r="J14" s="2428"/>
      <c r="K14" s="1976"/>
      <c r="L14" s="2411"/>
      <c r="M14" s="2411"/>
      <c r="N14" s="1956"/>
      <c r="O14" s="2411"/>
      <c r="P14" s="2428"/>
      <c r="Q14" s="1957"/>
      <c r="R14" s="2411"/>
      <c r="S14" s="2411"/>
      <c r="T14" s="1962"/>
      <c r="U14" s="1963"/>
      <c r="V14" s="2471"/>
      <c r="W14" s="2471"/>
      <c r="X14" s="2471"/>
      <c r="Y14" s="2471"/>
      <c r="Z14" s="2471"/>
      <c r="AA14" s="2471"/>
      <c r="AB14" s="2471"/>
      <c r="AC14" s="2471"/>
      <c r="AD14" s="2471"/>
      <c r="AE14" s="2471"/>
      <c r="AF14" s="2471"/>
      <c r="AG14" s="2471"/>
      <c r="AH14" s="2471"/>
      <c r="AI14" s="2472"/>
      <c r="AJ14" s="1940"/>
    </row>
    <row customHeight="1" ht="11.25">
      <c r="D15" s="2460"/>
      <c r="E15" s="2462"/>
      <c r="F15" s="2462"/>
      <c r="G15" s="2466"/>
      <c r="H15" s="1967"/>
      <c r="I15" s="2468"/>
      <c r="J15" s="2428"/>
      <c r="K15" s="1976"/>
      <c r="L15" s="2411"/>
      <c r="M15" s="2411"/>
      <c r="N15" s="1961"/>
      <c r="O15" s="1961"/>
      <c r="P15" s="2471"/>
      <c r="Q15" s="2471"/>
      <c r="R15" s="2471"/>
      <c r="S15" s="2471"/>
      <c r="T15" s="2471"/>
      <c r="U15" s="2471"/>
      <c r="V15" s="2471"/>
      <c r="W15" s="2471"/>
      <c r="X15" s="2471"/>
      <c r="Y15" s="2471"/>
      <c r="Z15" s="2471"/>
      <c r="AA15" s="2471"/>
      <c r="AB15" s="2471"/>
      <c r="AC15" s="2471"/>
      <c r="AD15" s="2471"/>
      <c r="AE15" s="2471"/>
      <c r="AF15" s="2471"/>
      <c r="AG15" s="2471"/>
      <c r="AH15" s="2471"/>
      <c r="AI15" s="2472"/>
      <c r="AJ15" s="1940"/>
    </row>
    <row s="31850" customFormat="1" customHeight="1" ht="11.25">
      <c r="D16" s="2461"/>
      <c r="E16" s="2463"/>
      <c r="F16" s="2464"/>
      <c r="G16" s="2407"/>
      <c r="H16" s="1964"/>
      <c r="I16" s="1968"/>
      <c r="J16" s="2469"/>
      <c r="K16" s="2469"/>
      <c r="L16" s="2469"/>
      <c r="M16" s="2469"/>
      <c r="N16" s="2469"/>
      <c r="O16" s="2469"/>
      <c r="P16" s="2469"/>
      <c r="Q16" s="2469"/>
      <c r="R16" s="2469"/>
      <c r="S16" s="2469"/>
      <c r="T16" s="2469"/>
      <c r="U16" s="2469"/>
      <c r="V16" s="2469"/>
      <c r="W16" s="2469"/>
      <c r="X16" s="2469"/>
      <c r="Y16" s="2469"/>
      <c r="Z16" s="2469"/>
      <c r="AA16" s="2469"/>
      <c r="AB16" s="2469"/>
      <c r="AC16" s="2469"/>
      <c r="AD16" s="2469"/>
      <c r="AE16" s="2469"/>
      <c r="AF16" s="2469"/>
      <c r="AG16" s="2469"/>
      <c r="AH16" s="2469"/>
      <c r="AI16" s="2470"/>
      <c r="AJ16" s="1940"/>
      <c r="AK16" s="667"/>
      <c r="AL16" s="1940"/>
      <c r="AM16" s="1940"/>
      <c r="AN16" s="1940"/>
      <c r="AO16" s="1940"/>
      <c r="AP16" s="1940"/>
      <c r="AQ16" s="1940"/>
      <c r="AR16" s="1940"/>
      <c r="AS16" s="1940"/>
      <c r="AT16" s="1940"/>
      <c r="AU16" s="1940"/>
      <c r="AV16" s="1940"/>
      <c r="AW16" s="1940"/>
      <c r="AX16" s="1940"/>
      <c r="AY16" s="1940"/>
      <c r="AZ16" s="1940"/>
      <c r="BA16" s="1940"/>
      <c r="BB16" s="1940"/>
      <c r="BC16" s="1940"/>
      <c r="BD16" s="1940"/>
      <c r="BE16" s="1940"/>
      <c r="BF16" s="1940"/>
      <c r="BG16" s="1940"/>
      <c r="BH16" s="1940"/>
      <c r="BI16" s="1940"/>
      <c r="BJ16" s="1940"/>
      <c r="BK16" s="1940"/>
      <c r="BL16" s="1940"/>
    </row>
    <row customHeight="1" ht="14.25">
      <c r="D17" s="2460" t="s">
        <v>102</v>
      </c>
      <c r="E17" s="2462" t="s">
        <v>334</v>
      </c>
      <c r="F17" s="2462" t="s">
        <v>336</v>
      </c>
      <c r="G17" s="2465" t="s">
        <v>56</v>
      </c>
      <c r="H17" s="1965"/>
      <c r="I17" s="2467"/>
      <c r="J17" s="2427"/>
      <c r="K17" s="1880"/>
      <c r="L17" s="2410"/>
      <c r="M17" s="2410"/>
      <c r="N17" s="1950"/>
      <c r="O17" s="2410"/>
      <c r="P17" s="2427"/>
      <c r="Q17" s="1951"/>
      <c r="R17" s="2410"/>
      <c r="S17" s="2410"/>
      <c r="T17" s="1952"/>
      <c r="U17" s="2410"/>
      <c r="V17" s="2427"/>
      <c r="W17" s="1953"/>
      <c r="X17" s="2410"/>
      <c r="Y17" s="2410"/>
      <c r="Z17" s="1950"/>
      <c r="AA17" s="2410"/>
      <c r="AB17" s="2427"/>
      <c r="AC17" s="1954"/>
      <c r="AD17" s="2410"/>
      <c r="AE17" s="2410"/>
      <c r="AF17" s="1879"/>
      <c r="AG17" s="1879"/>
      <c r="AH17" s="1955"/>
      <c r="AI17" s="1662"/>
      <c r="AJ17" s="1940"/>
    </row>
    <row customHeight="1" ht="14.25">
      <c r="D18" s="2460"/>
      <c r="E18" s="2462"/>
      <c r="F18" s="2462"/>
      <c r="G18" s="2466"/>
      <c r="H18" s="1966"/>
      <c r="I18" s="2468"/>
      <c r="J18" s="2428"/>
      <c r="K18" s="1949"/>
      <c r="L18" s="2411"/>
      <c r="M18" s="2411"/>
      <c r="N18" s="1956"/>
      <c r="O18" s="2411"/>
      <c r="P18" s="2428"/>
      <c r="Q18" s="1957"/>
      <c r="R18" s="2411"/>
      <c r="S18" s="2411"/>
      <c r="T18" s="1958"/>
      <c r="U18" s="2411"/>
      <c r="V18" s="2428"/>
      <c r="W18" s="1959"/>
      <c r="X18" s="2411"/>
      <c r="Y18" s="2411"/>
      <c r="Z18" s="1956"/>
      <c r="AA18" s="2411"/>
      <c r="AB18" s="2428"/>
      <c r="AC18" s="1960"/>
      <c r="AD18" s="2411"/>
      <c r="AE18" s="2411"/>
      <c r="AF18" s="1961"/>
      <c r="AG18" s="1961"/>
      <c r="AH18" s="2471"/>
      <c r="AI18" s="2472"/>
      <c r="AJ18" s="1940"/>
    </row>
    <row customHeight="1" ht="14.25">
      <c r="D19" s="2460"/>
      <c r="E19" s="2462"/>
      <c r="F19" s="2462"/>
      <c r="G19" s="2466"/>
      <c r="H19" s="1966"/>
      <c r="I19" s="2468"/>
      <c r="J19" s="2428"/>
      <c r="K19" s="1949"/>
      <c r="L19" s="2411"/>
      <c r="M19" s="2411"/>
      <c r="N19" s="1956"/>
      <c r="O19" s="2411"/>
      <c r="P19" s="2428"/>
      <c r="Q19" s="1957"/>
      <c r="R19" s="2411"/>
      <c r="S19" s="2411"/>
      <c r="T19" s="1958"/>
      <c r="U19" s="2411"/>
      <c r="V19" s="2428"/>
      <c r="W19" s="1959"/>
      <c r="X19" s="2411"/>
      <c r="Y19" s="2411"/>
      <c r="Z19" s="1878"/>
      <c r="AA19" s="1961"/>
      <c r="AB19" s="2471"/>
      <c r="AC19" s="2471"/>
      <c r="AD19" s="2471"/>
      <c r="AE19" s="2471"/>
      <c r="AF19" s="2471"/>
      <c r="AG19" s="2471"/>
      <c r="AH19" s="2471"/>
      <c r="AI19" s="2472"/>
      <c r="AJ19" s="1940"/>
    </row>
    <row customHeight="1" ht="14.25">
      <c r="D20" s="2460"/>
      <c r="E20" s="2462"/>
      <c r="F20" s="2462"/>
      <c r="G20" s="2466"/>
      <c r="H20" s="1966"/>
      <c r="I20" s="2468"/>
      <c r="J20" s="2428"/>
      <c r="K20" s="1949"/>
      <c r="L20" s="2411"/>
      <c r="M20" s="2411"/>
      <c r="N20" s="1956"/>
      <c r="O20" s="2411"/>
      <c r="P20" s="2428"/>
      <c r="Q20" s="1957"/>
      <c r="R20" s="2411"/>
      <c r="S20" s="2411"/>
      <c r="T20" s="1962"/>
      <c r="U20" s="1963"/>
      <c r="V20" s="2471"/>
      <c r="W20" s="2471"/>
      <c r="X20" s="2471"/>
      <c r="Y20" s="2471"/>
      <c r="Z20" s="2471"/>
      <c r="AA20" s="2471"/>
      <c r="AB20" s="2471"/>
      <c r="AC20" s="2471"/>
      <c r="AD20" s="2471"/>
      <c r="AE20" s="2471"/>
      <c r="AF20" s="2471"/>
      <c r="AG20" s="2471"/>
      <c r="AH20" s="2471"/>
      <c r="AI20" s="2472"/>
      <c r="AJ20" s="1940"/>
    </row>
    <row customHeight="1" ht="11.25">
      <c r="D21" s="2460"/>
      <c r="E21" s="2462"/>
      <c r="F21" s="2462"/>
      <c r="G21" s="2466"/>
      <c r="H21" s="1967"/>
      <c r="I21" s="2468"/>
      <c r="J21" s="2428"/>
      <c r="K21" s="1949"/>
      <c r="L21" s="2411"/>
      <c r="M21" s="2411"/>
      <c r="N21" s="1961"/>
      <c r="O21" s="1961"/>
      <c r="P21" s="2471"/>
      <c r="Q21" s="2471"/>
      <c r="R21" s="2471"/>
      <c r="S21" s="2471"/>
      <c r="T21" s="2471"/>
      <c r="U21" s="2471"/>
      <c r="V21" s="2471"/>
      <c r="W21" s="2471"/>
      <c r="X21" s="2471"/>
      <c r="Y21" s="2471"/>
      <c r="Z21" s="2471"/>
      <c r="AA21" s="2471"/>
      <c r="AB21" s="2471"/>
      <c r="AC21" s="2471"/>
      <c r="AD21" s="2471"/>
      <c r="AE21" s="2471"/>
      <c r="AF21" s="2471"/>
      <c r="AG21" s="2471"/>
      <c r="AH21" s="2471"/>
      <c r="AI21" s="2472"/>
      <c r="AJ21" s="1940"/>
    </row>
    <row s="31850" customFormat="1" customHeight="1" ht="11.25">
      <c r="D22" s="2461"/>
      <c r="E22" s="2463"/>
      <c r="F22" s="2464"/>
      <c r="G22" s="2407"/>
      <c r="H22" s="1964"/>
      <c r="I22" s="1968"/>
      <c r="J22" s="2469"/>
      <c r="K22" s="2469"/>
      <c r="L22" s="2469"/>
      <c r="M22" s="2469"/>
      <c r="N22" s="2469"/>
      <c r="O22" s="2469"/>
      <c r="P22" s="2469"/>
      <c r="Q22" s="2469"/>
      <c r="R22" s="2469"/>
      <c r="S22" s="2469"/>
      <c r="T22" s="2469"/>
      <c r="U22" s="2469"/>
      <c r="V22" s="2469"/>
      <c r="W22" s="2469"/>
      <c r="X22" s="2469"/>
      <c r="Y22" s="2469"/>
      <c r="Z22" s="2469"/>
      <c r="AA22" s="2469"/>
      <c r="AB22" s="2469"/>
      <c r="AC22" s="2469"/>
      <c r="AD22" s="2469"/>
      <c r="AE22" s="2469"/>
      <c r="AF22" s="2469"/>
      <c r="AG22" s="2469"/>
      <c r="AH22" s="2469"/>
      <c r="AI22" s="2470"/>
      <c r="AJ22" s="1940"/>
      <c r="AK22" s="667"/>
      <c r="AL22" s="1940"/>
      <c r="AM22" s="1940"/>
      <c r="AN22" s="1940"/>
      <c r="AO22" s="1940"/>
      <c r="AP22" s="1940"/>
      <c r="AQ22" s="1940"/>
      <c r="AR22" s="1940"/>
      <c r="AS22" s="1940"/>
      <c r="AT22" s="1940"/>
      <c r="AU22" s="1940"/>
      <c r="AV22" s="1940"/>
      <c r="AW22" s="1940"/>
      <c r="AX22" s="1940"/>
      <c r="AY22" s="1940"/>
      <c r="AZ22" s="1940"/>
      <c r="BA22" s="1940"/>
      <c r="BB22" s="1940"/>
      <c r="BC22" s="1940"/>
      <c r="BD22" s="1940"/>
      <c r="BE22" s="1940"/>
      <c r="BF22" s="1940"/>
      <c r="BG22" s="1940"/>
      <c r="BH22" s="1940"/>
      <c r="BI22" s="1940"/>
      <c r="BJ22" s="1940"/>
      <c r="BK22" s="1940"/>
      <c r="BL22" s="1940"/>
    </row>
    <row customHeight="1" ht="14.25">
      <c r="D23" s="2460" t="s">
        <v>89</v>
      </c>
      <c r="E23" s="2462" t="s">
        <v>334</v>
      </c>
      <c r="F23" s="2462" t="s">
        <v>337</v>
      </c>
      <c r="G23" s="2465" t="s">
        <v>56</v>
      </c>
      <c r="H23" s="1965"/>
      <c r="I23" s="2467"/>
      <c r="J23" s="2427"/>
      <c r="K23" s="1880"/>
      <c r="L23" s="2410"/>
      <c r="M23" s="2410"/>
      <c r="N23" s="1950"/>
      <c r="O23" s="2410"/>
      <c r="P23" s="2427"/>
      <c r="Q23" s="1951"/>
      <c r="R23" s="2410"/>
      <c r="S23" s="2410"/>
      <c r="T23" s="1952"/>
      <c r="U23" s="2410"/>
      <c r="V23" s="2427"/>
      <c r="W23" s="1953"/>
      <c r="X23" s="2410"/>
      <c r="Y23" s="2410"/>
      <c r="Z23" s="1950"/>
      <c r="AA23" s="2410"/>
      <c r="AB23" s="2427"/>
      <c r="AC23" s="1954"/>
      <c r="AD23" s="2410"/>
      <c r="AE23" s="2410"/>
      <c r="AF23" s="1879"/>
      <c r="AG23" s="1879"/>
      <c r="AH23" s="1955"/>
      <c r="AI23" s="1662"/>
      <c r="AJ23" s="1940"/>
      <c r="AK23" s="667" t="s">
        <v>97</v>
      </c>
    </row>
    <row customHeight="1" ht="14.25">
      <c r="D24" s="2460"/>
      <c r="E24" s="2462"/>
      <c r="F24" s="2462"/>
      <c r="G24" s="2466"/>
      <c r="H24" s="1966"/>
      <c r="I24" s="2468"/>
      <c r="J24" s="2428"/>
      <c r="K24" s="1976"/>
      <c r="L24" s="2411"/>
      <c r="M24" s="2411"/>
      <c r="N24" s="1956"/>
      <c r="O24" s="2411"/>
      <c r="P24" s="2428"/>
      <c r="Q24" s="1957"/>
      <c r="R24" s="2411"/>
      <c r="S24" s="2411"/>
      <c r="T24" s="1958"/>
      <c r="U24" s="2411"/>
      <c r="V24" s="2428"/>
      <c r="W24" s="1959"/>
      <c r="X24" s="2411"/>
      <c r="Y24" s="2411"/>
      <c r="Z24" s="1956"/>
      <c r="AA24" s="2411"/>
      <c r="AB24" s="2428"/>
      <c r="AC24" s="1960"/>
      <c r="AD24" s="2411"/>
      <c r="AE24" s="2411"/>
      <c r="AF24" s="1961"/>
      <c r="AG24" s="1961"/>
      <c r="AH24" s="2471"/>
      <c r="AI24" s="2472"/>
      <c r="AJ24" s="1940"/>
    </row>
    <row customHeight="1" ht="14.25">
      <c r="D25" s="2460"/>
      <c r="E25" s="2462"/>
      <c r="F25" s="2462"/>
      <c r="G25" s="2466"/>
      <c r="H25" s="1966"/>
      <c r="I25" s="2468"/>
      <c r="J25" s="2428"/>
      <c r="K25" s="1976"/>
      <c r="L25" s="2411"/>
      <c r="M25" s="2411"/>
      <c r="N25" s="1956"/>
      <c r="O25" s="2411"/>
      <c r="P25" s="2428"/>
      <c r="Q25" s="1957"/>
      <c r="R25" s="2411"/>
      <c r="S25" s="2411"/>
      <c r="T25" s="1958"/>
      <c r="U25" s="2411"/>
      <c r="V25" s="2428"/>
      <c r="W25" s="1959"/>
      <c r="X25" s="2411"/>
      <c r="Y25" s="2411"/>
      <c r="Z25" s="1878"/>
      <c r="AA25" s="1961"/>
      <c r="AB25" s="2471"/>
      <c r="AC25" s="2471"/>
      <c r="AD25" s="2471"/>
      <c r="AE25" s="2471"/>
      <c r="AF25" s="2471"/>
      <c r="AG25" s="2471"/>
      <c r="AH25" s="2471"/>
      <c r="AI25" s="2472"/>
      <c r="AJ25" s="1940"/>
    </row>
    <row customHeight="1" ht="14.25">
      <c r="D26" s="2460"/>
      <c r="E26" s="2462"/>
      <c r="F26" s="2462"/>
      <c r="G26" s="2466"/>
      <c r="H26" s="1966"/>
      <c r="I26" s="2468"/>
      <c r="J26" s="2428"/>
      <c r="K26" s="1976"/>
      <c r="L26" s="2411"/>
      <c r="M26" s="2411"/>
      <c r="N26" s="1956"/>
      <c r="O26" s="2411"/>
      <c r="P26" s="2428"/>
      <c r="Q26" s="1957"/>
      <c r="R26" s="2411"/>
      <c r="S26" s="2411"/>
      <c r="T26" s="1962"/>
      <c r="U26" s="1963"/>
      <c r="V26" s="2471"/>
      <c r="W26" s="2471"/>
      <c r="X26" s="2471"/>
      <c r="Y26" s="2471"/>
      <c r="Z26" s="2471"/>
      <c r="AA26" s="2471"/>
      <c r="AB26" s="2471"/>
      <c r="AC26" s="2471"/>
      <c r="AD26" s="2471"/>
      <c r="AE26" s="2471"/>
      <c r="AF26" s="2471"/>
      <c r="AG26" s="2471"/>
      <c r="AH26" s="2471"/>
      <c r="AI26" s="2472"/>
      <c r="AJ26" s="1940"/>
    </row>
    <row customHeight="1" ht="11.25">
      <c r="D27" s="2460"/>
      <c r="E27" s="2462"/>
      <c r="F27" s="2462"/>
      <c r="G27" s="2466"/>
      <c r="H27" s="1967"/>
      <c r="I27" s="2468"/>
      <c r="J27" s="2428"/>
      <c r="K27" s="1976"/>
      <c r="L27" s="2411"/>
      <c r="M27" s="2411"/>
      <c r="N27" s="1961"/>
      <c r="O27" s="1961"/>
      <c r="P27" s="2471"/>
      <c r="Q27" s="2471"/>
      <c r="R27" s="2471"/>
      <c r="S27" s="2471"/>
      <c r="T27" s="2471"/>
      <c r="U27" s="2471"/>
      <c r="V27" s="2471"/>
      <c r="W27" s="2471"/>
      <c r="X27" s="2471"/>
      <c r="Y27" s="2471"/>
      <c r="Z27" s="2471"/>
      <c r="AA27" s="2471"/>
      <c r="AB27" s="2471"/>
      <c r="AC27" s="2471"/>
      <c r="AD27" s="2471"/>
      <c r="AE27" s="2471"/>
      <c r="AF27" s="2471"/>
      <c r="AG27" s="2471"/>
      <c r="AH27" s="2471"/>
      <c r="AI27" s="2472"/>
      <c r="AJ27" s="1940"/>
    </row>
    <row s="31850" customFormat="1" customHeight="1" ht="11.25">
      <c r="D28" s="2461"/>
      <c r="E28" s="2463"/>
      <c r="F28" s="2464"/>
      <c r="G28" s="2407"/>
      <c r="H28" s="1964"/>
      <c r="I28" s="1968"/>
      <c r="J28" s="2469"/>
      <c r="K28" s="2469"/>
      <c r="L28" s="2469"/>
      <c r="M28" s="2469"/>
      <c r="N28" s="2469"/>
      <c r="O28" s="2469"/>
      <c r="P28" s="2469"/>
      <c r="Q28" s="2469"/>
      <c r="R28" s="2469"/>
      <c r="S28" s="2469"/>
      <c r="T28" s="2469"/>
      <c r="U28" s="2469"/>
      <c r="V28" s="2469"/>
      <c r="W28" s="2469"/>
      <c r="X28" s="2469"/>
      <c r="Y28" s="2469"/>
      <c r="Z28" s="2469"/>
      <c r="AA28" s="2469"/>
      <c r="AB28" s="2469"/>
      <c r="AC28" s="2469"/>
      <c r="AD28" s="2469"/>
      <c r="AE28" s="2469"/>
      <c r="AF28" s="2469"/>
      <c r="AG28" s="2469"/>
      <c r="AH28" s="2469"/>
      <c r="AI28" s="2470"/>
      <c r="AJ28" s="1940"/>
      <c r="AK28" s="667"/>
      <c r="AL28" s="1940"/>
      <c r="AM28" s="1940"/>
      <c r="AN28" s="1940"/>
      <c r="AO28" s="1940"/>
      <c r="AP28" s="1940"/>
      <c r="AQ28" s="1940"/>
      <c r="AR28" s="1940"/>
      <c r="AS28" s="1940"/>
      <c r="AT28" s="1940"/>
      <c r="AU28" s="1940"/>
      <c r="AV28" s="1940"/>
      <c r="AW28" s="1940"/>
      <c r="AX28" s="1940"/>
      <c r="AY28" s="1940"/>
      <c r="AZ28" s="1940"/>
      <c r="BA28" s="1940"/>
      <c r="BB28" s="1940"/>
      <c r="BC28" s="1940"/>
      <c r="BD28" s="1940"/>
      <c r="BE28" s="1940"/>
      <c r="BF28" s="1940"/>
      <c r="BG28" s="1940"/>
      <c r="BH28" s="1940"/>
      <c r="BI28" s="1940"/>
      <c r="BJ28" s="1940"/>
      <c r="BK28" s="1940"/>
      <c r="BL28" s="1940"/>
    </row>
    <row customHeight="1" ht="14.25">
      <c r="D29" s="2460" t="s">
        <v>90</v>
      </c>
      <c r="E29" s="2462" t="s">
        <v>334</v>
      </c>
      <c r="F29" s="2462" t="s">
        <v>338</v>
      </c>
      <c r="G29" s="2465" t="s">
        <v>56</v>
      </c>
      <c r="H29" s="1965"/>
      <c r="I29" s="2467"/>
      <c r="J29" s="2427"/>
      <c r="K29" s="1880"/>
      <c r="L29" s="2410"/>
      <c r="M29" s="2410"/>
      <c r="N29" s="1950"/>
      <c r="O29" s="2410"/>
      <c r="P29" s="2427"/>
      <c r="Q29" s="1951"/>
      <c r="R29" s="2410"/>
      <c r="S29" s="2410"/>
      <c r="T29" s="1952"/>
      <c r="U29" s="2410"/>
      <c r="V29" s="2427"/>
      <c r="W29" s="1953"/>
      <c r="X29" s="2410"/>
      <c r="Y29" s="2410"/>
      <c r="Z29" s="1950"/>
      <c r="AA29" s="2410"/>
      <c r="AB29" s="2427"/>
      <c r="AC29" s="1954"/>
      <c r="AD29" s="2410"/>
      <c r="AE29" s="2410"/>
      <c r="AF29" s="1879"/>
      <c r="AG29" s="1879"/>
      <c r="AH29" s="1955"/>
      <c r="AI29" s="1662"/>
      <c r="AJ29" s="1940"/>
    </row>
    <row customHeight="1" ht="14.25">
      <c r="D30" s="2460"/>
      <c r="E30" s="2462"/>
      <c r="F30" s="2462"/>
      <c r="G30" s="2466"/>
      <c r="H30" s="1966"/>
      <c r="I30" s="2468"/>
      <c r="J30" s="2428"/>
      <c r="K30" s="1949"/>
      <c r="L30" s="2411"/>
      <c r="M30" s="2411"/>
      <c r="N30" s="1956"/>
      <c r="O30" s="2411"/>
      <c r="P30" s="2428"/>
      <c r="Q30" s="1957"/>
      <c r="R30" s="2411"/>
      <c r="S30" s="2411"/>
      <c r="T30" s="1958"/>
      <c r="U30" s="2411"/>
      <c r="V30" s="2428"/>
      <c r="W30" s="1959"/>
      <c r="X30" s="2411"/>
      <c r="Y30" s="2411"/>
      <c r="Z30" s="1956"/>
      <c r="AA30" s="2411"/>
      <c r="AB30" s="2428"/>
      <c r="AC30" s="1960"/>
      <c r="AD30" s="2411"/>
      <c r="AE30" s="2411"/>
      <c r="AF30" s="1961"/>
      <c r="AG30" s="1961"/>
      <c r="AH30" s="2471"/>
      <c r="AI30" s="2472"/>
      <c r="AJ30" s="1940"/>
    </row>
    <row customHeight="1" ht="14.25">
      <c r="D31" s="2460"/>
      <c r="E31" s="2462"/>
      <c r="F31" s="2462"/>
      <c r="G31" s="2466"/>
      <c r="H31" s="1966"/>
      <c r="I31" s="2468"/>
      <c r="J31" s="2428"/>
      <c r="K31" s="1949"/>
      <c r="L31" s="2411"/>
      <c r="M31" s="2411"/>
      <c r="N31" s="1956"/>
      <c r="O31" s="2411"/>
      <c r="P31" s="2428"/>
      <c r="Q31" s="1957"/>
      <c r="R31" s="2411"/>
      <c r="S31" s="2411"/>
      <c r="T31" s="1958"/>
      <c r="U31" s="2411"/>
      <c r="V31" s="2428"/>
      <c r="W31" s="1959"/>
      <c r="X31" s="2411"/>
      <c r="Y31" s="2411"/>
      <c r="Z31" s="1878"/>
      <c r="AA31" s="1961"/>
      <c r="AB31" s="2471"/>
      <c r="AC31" s="2471"/>
      <c r="AD31" s="2471"/>
      <c r="AE31" s="2471"/>
      <c r="AF31" s="2471"/>
      <c r="AG31" s="2471"/>
      <c r="AH31" s="2471"/>
      <c r="AI31" s="2472"/>
      <c r="AJ31" s="1940"/>
    </row>
    <row customHeight="1" ht="14.25">
      <c r="D32" s="2460"/>
      <c r="E32" s="2462"/>
      <c r="F32" s="2462"/>
      <c r="G32" s="2466"/>
      <c r="H32" s="1966"/>
      <c r="I32" s="2468"/>
      <c r="J32" s="2428"/>
      <c r="K32" s="1949"/>
      <c r="L32" s="2411"/>
      <c r="M32" s="2411"/>
      <c r="N32" s="1956"/>
      <c r="O32" s="2411"/>
      <c r="P32" s="2428"/>
      <c r="Q32" s="1957"/>
      <c r="R32" s="2411"/>
      <c r="S32" s="2411"/>
      <c r="T32" s="1962"/>
      <c r="U32" s="1963"/>
      <c r="V32" s="2471"/>
      <c r="W32" s="2471"/>
      <c r="X32" s="2471"/>
      <c r="Y32" s="2471"/>
      <c r="Z32" s="2471"/>
      <c r="AA32" s="2471"/>
      <c r="AB32" s="2471"/>
      <c r="AC32" s="2471"/>
      <c r="AD32" s="2471"/>
      <c r="AE32" s="2471"/>
      <c r="AF32" s="2471"/>
      <c r="AG32" s="2471"/>
      <c r="AH32" s="2471"/>
      <c r="AI32" s="2472"/>
      <c r="AJ32" s="1940"/>
    </row>
    <row customHeight="1" ht="11.25">
      <c r="D33" s="2460"/>
      <c r="E33" s="2462"/>
      <c r="F33" s="2462"/>
      <c r="G33" s="2466"/>
      <c r="H33" s="1967"/>
      <c r="I33" s="2468"/>
      <c r="J33" s="2428"/>
      <c r="K33" s="1949"/>
      <c r="L33" s="2411"/>
      <c r="M33" s="2411"/>
      <c r="N33" s="1961"/>
      <c r="O33" s="1961"/>
      <c r="P33" s="2471"/>
      <c r="Q33" s="2471"/>
      <c r="R33" s="2471"/>
      <c r="S33" s="2471"/>
      <c r="T33" s="2471"/>
      <c r="U33" s="2471"/>
      <c r="V33" s="2471"/>
      <c r="W33" s="2471"/>
      <c r="X33" s="2471"/>
      <c r="Y33" s="2471"/>
      <c r="Z33" s="2471"/>
      <c r="AA33" s="2471"/>
      <c r="AB33" s="2471"/>
      <c r="AC33" s="2471"/>
      <c r="AD33" s="2471"/>
      <c r="AE33" s="2471"/>
      <c r="AF33" s="2471"/>
      <c r="AG33" s="2471"/>
      <c r="AH33" s="2471"/>
      <c r="AI33" s="2472"/>
      <c r="AJ33" s="1940"/>
    </row>
    <row s="31850" customFormat="1" customHeight="1" ht="11.25">
      <c r="D34" s="2461"/>
      <c r="E34" s="2463"/>
      <c r="F34" s="2464"/>
      <c r="G34" s="2407"/>
      <c r="H34" s="1964"/>
      <c r="I34" s="1968"/>
      <c r="J34" s="2469"/>
      <c r="K34" s="2469"/>
      <c r="L34" s="2469"/>
      <c r="M34" s="2469"/>
      <c r="N34" s="2469"/>
      <c r="O34" s="2469"/>
      <c r="P34" s="2469"/>
      <c r="Q34" s="2469"/>
      <c r="R34" s="2469"/>
      <c r="S34" s="2469"/>
      <c r="T34" s="2469"/>
      <c r="U34" s="2469"/>
      <c r="V34" s="2469"/>
      <c r="W34" s="2469"/>
      <c r="X34" s="2469"/>
      <c r="Y34" s="2469"/>
      <c r="Z34" s="2469"/>
      <c r="AA34" s="2469"/>
      <c r="AB34" s="2469"/>
      <c r="AC34" s="2469"/>
      <c r="AD34" s="2469"/>
      <c r="AE34" s="2469"/>
      <c r="AF34" s="2469"/>
      <c r="AG34" s="2469"/>
      <c r="AH34" s="2469"/>
      <c r="AI34" s="2470"/>
      <c r="AJ34" s="1940"/>
      <c r="AK34" s="667"/>
      <c r="AL34" s="1940"/>
      <c r="AM34" s="1940"/>
      <c r="AN34" s="1940"/>
      <c r="AO34" s="1940"/>
      <c r="AP34" s="1940"/>
      <c r="AQ34" s="1940"/>
      <c r="AR34" s="1940"/>
      <c r="AS34" s="1940"/>
      <c r="AT34" s="1940"/>
      <c r="AU34" s="1940"/>
      <c r="AV34" s="1940"/>
      <c r="AW34" s="1940"/>
      <c r="AX34" s="1940"/>
      <c r="AY34" s="1940"/>
      <c r="AZ34" s="1940"/>
      <c r="BA34" s="1940"/>
      <c r="BB34" s="1940"/>
      <c r="BC34" s="1940"/>
      <c r="BD34" s="1940"/>
      <c r="BE34" s="1940"/>
      <c r="BF34" s="1940"/>
      <c r="BG34" s="1940"/>
      <c r="BH34" s="1940"/>
      <c r="BI34" s="1940"/>
      <c r="BJ34" s="1940"/>
      <c r="BK34" s="1940"/>
      <c r="BL34" s="1940"/>
    </row>
    <row customHeight="1" ht="14.25">
      <c r="D35" s="2460" t="s">
        <v>119</v>
      </c>
      <c r="E35" s="2462" t="s">
        <v>334</v>
      </c>
      <c r="F35" s="2462" t="s">
        <v>339</v>
      </c>
      <c r="G35" s="2465" t="s">
        <v>56</v>
      </c>
      <c r="H35" s="1965"/>
      <c r="I35" s="2467"/>
      <c r="J35" s="2427"/>
      <c r="K35" s="1880"/>
      <c r="L35" s="2410"/>
      <c r="M35" s="2410"/>
      <c r="N35" s="1950"/>
      <c r="O35" s="2410"/>
      <c r="P35" s="2427"/>
      <c r="Q35" s="1951"/>
      <c r="R35" s="2410"/>
      <c r="S35" s="2410"/>
      <c r="T35" s="1952"/>
      <c r="U35" s="2410"/>
      <c r="V35" s="2427"/>
      <c r="W35" s="1953"/>
      <c r="X35" s="2410"/>
      <c r="Y35" s="2410"/>
      <c r="Z35" s="1950"/>
      <c r="AA35" s="2410"/>
      <c r="AB35" s="2427"/>
      <c r="AC35" s="1954"/>
      <c r="AD35" s="2410"/>
      <c r="AE35" s="2410"/>
      <c r="AF35" s="1879"/>
      <c r="AG35" s="1879"/>
      <c r="AH35" s="1955"/>
      <c r="AI35" s="1662"/>
      <c r="AJ35" s="1940"/>
    </row>
    <row customHeight="1" ht="14.25">
      <c r="D36" s="2460"/>
      <c r="E36" s="2462"/>
      <c r="F36" s="2462"/>
      <c r="G36" s="2466"/>
      <c r="H36" s="1966"/>
      <c r="I36" s="2468"/>
      <c r="J36" s="2428"/>
      <c r="K36" s="1949"/>
      <c r="L36" s="2411"/>
      <c r="M36" s="2411"/>
      <c r="N36" s="1956"/>
      <c r="O36" s="2411"/>
      <c r="P36" s="2428"/>
      <c r="Q36" s="1957"/>
      <c r="R36" s="2411"/>
      <c r="S36" s="2411"/>
      <c r="T36" s="1958"/>
      <c r="U36" s="2411"/>
      <c r="V36" s="2428"/>
      <c r="W36" s="1959"/>
      <c r="X36" s="2411"/>
      <c r="Y36" s="2411"/>
      <c r="Z36" s="1956"/>
      <c r="AA36" s="2411"/>
      <c r="AB36" s="2428"/>
      <c r="AC36" s="1960"/>
      <c r="AD36" s="2411"/>
      <c r="AE36" s="2411"/>
      <c r="AF36" s="1961"/>
      <c r="AG36" s="1961"/>
      <c r="AH36" s="2471"/>
      <c r="AI36" s="2472"/>
      <c r="AJ36" s="1940"/>
    </row>
    <row customHeight="1" ht="14.25">
      <c r="D37" s="2460"/>
      <c r="E37" s="2462"/>
      <c r="F37" s="2462"/>
      <c r="G37" s="2466"/>
      <c r="H37" s="1966"/>
      <c r="I37" s="2468"/>
      <c r="J37" s="2428"/>
      <c r="K37" s="1949"/>
      <c r="L37" s="2411"/>
      <c r="M37" s="2411"/>
      <c r="N37" s="1956"/>
      <c r="O37" s="2411"/>
      <c r="P37" s="2428"/>
      <c r="Q37" s="1957"/>
      <c r="R37" s="2411"/>
      <c r="S37" s="2411"/>
      <c r="T37" s="1958"/>
      <c r="U37" s="2411"/>
      <c r="V37" s="2428"/>
      <c r="W37" s="1959"/>
      <c r="X37" s="2411"/>
      <c r="Y37" s="2411"/>
      <c r="Z37" s="1878"/>
      <c r="AA37" s="1961"/>
      <c r="AB37" s="2471"/>
      <c r="AC37" s="2471"/>
      <c r="AD37" s="2471"/>
      <c r="AE37" s="2471"/>
      <c r="AF37" s="2471"/>
      <c r="AG37" s="2471"/>
      <c r="AH37" s="2471"/>
      <c r="AI37" s="2472"/>
      <c r="AJ37" s="1940"/>
    </row>
    <row customHeight="1" ht="14.25">
      <c r="D38" s="2460"/>
      <c r="E38" s="2462"/>
      <c r="F38" s="2462"/>
      <c r="G38" s="2466"/>
      <c r="H38" s="1966"/>
      <c r="I38" s="2468"/>
      <c r="J38" s="2428"/>
      <c r="K38" s="1949"/>
      <c r="L38" s="2411"/>
      <c r="M38" s="2411"/>
      <c r="N38" s="1956"/>
      <c r="O38" s="2411"/>
      <c r="P38" s="2428"/>
      <c r="Q38" s="1957"/>
      <c r="R38" s="2411"/>
      <c r="S38" s="2411"/>
      <c r="T38" s="1962"/>
      <c r="U38" s="1963"/>
      <c r="V38" s="2471"/>
      <c r="W38" s="2471"/>
      <c r="X38" s="2471"/>
      <c r="Y38" s="2471"/>
      <c r="Z38" s="2471"/>
      <c r="AA38" s="2471"/>
      <c r="AB38" s="2471"/>
      <c r="AC38" s="2471"/>
      <c r="AD38" s="2471"/>
      <c r="AE38" s="2471"/>
      <c r="AF38" s="2471"/>
      <c r="AG38" s="2471"/>
      <c r="AH38" s="2471"/>
      <c r="AI38" s="2472"/>
      <c r="AJ38" s="1940"/>
    </row>
    <row customHeight="1" ht="11.25">
      <c r="D39" s="2460"/>
      <c r="E39" s="2462"/>
      <c r="F39" s="2462"/>
      <c r="G39" s="2466"/>
      <c r="H39" s="1967"/>
      <c r="I39" s="2468"/>
      <c r="J39" s="2428"/>
      <c r="K39" s="1949"/>
      <c r="L39" s="2411"/>
      <c r="M39" s="2411"/>
      <c r="N39" s="1961"/>
      <c r="O39" s="1961"/>
      <c r="P39" s="2471"/>
      <c r="Q39" s="2471"/>
      <c r="R39" s="2471"/>
      <c r="S39" s="2471"/>
      <c r="T39" s="2471"/>
      <c r="U39" s="2471"/>
      <c r="V39" s="2471"/>
      <c r="W39" s="2471"/>
      <c r="X39" s="2471"/>
      <c r="Y39" s="2471"/>
      <c r="Z39" s="2471"/>
      <c r="AA39" s="2471"/>
      <c r="AB39" s="2471"/>
      <c r="AC39" s="2471"/>
      <c r="AD39" s="2471"/>
      <c r="AE39" s="2471"/>
      <c r="AF39" s="2471"/>
      <c r="AG39" s="2471"/>
      <c r="AH39" s="2471"/>
      <c r="AI39" s="2472"/>
      <c r="AJ39" s="1940"/>
    </row>
    <row s="31850" customFormat="1" customHeight="1" ht="11.25">
      <c r="D40" s="2460"/>
      <c r="E40" s="2462"/>
      <c r="F40" s="2473"/>
      <c r="G40" s="2407"/>
      <c r="H40" s="1964"/>
      <c r="I40" s="1968"/>
      <c r="J40" s="2469"/>
      <c r="K40" s="2469"/>
      <c r="L40" s="2469"/>
      <c r="M40" s="2469"/>
      <c r="N40" s="2469"/>
      <c r="O40" s="2469"/>
      <c r="P40" s="2469"/>
      <c r="Q40" s="2469"/>
      <c r="R40" s="2469"/>
      <c r="S40" s="2469"/>
      <c r="T40" s="2469"/>
      <c r="U40" s="2469"/>
      <c r="V40" s="2469"/>
      <c r="W40" s="2469"/>
      <c r="X40" s="2469"/>
      <c r="Y40" s="2469"/>
      <c r="Z40" s="2469"/>
      <c r="AA40" s="2469"/>
      <c r="AB40" s="2469"/>
      <c r="AC40" s="2469"/>
      <c r="AD40" s="2469"/>
      <c r="AE40" s="2469"/>
      <c r="AF40" s="2469"/>
      <c r="AG40" s="2469"/>
      <c r="AH40" s="2469"/>
      <c r="AI40" s="2470"/>
      <c r="AJ40" s="1940"/>
      <c r="AK40" s="667"/>
      <c r="AL40" s="1940"/>
      <c r="AM40" s="1940"/>
      <c r="AN40" s="1940"/>
      <c r="AO40" s="1940"/>
      <c r="AP40" s="1940"/>
      <c r="AQ40" s="1940"/>
      <c r="AR40" s="1940"/>
      <c r="AS40" s="1940"/>
      <c r="AT40" s="1940"/>
      <c r="AU40" s="1940"/>
      <c r="AV40" s="1940"/>
      <c r="AW40" s="1940"/>
      <c r="AX40" s="1940"/>
      <c r="AY40" s="1940"/>
      <c r="AZ40" s="1940"/>
      <c r="BA40" s="1940"/>
      <c r="BB40" s="1940"/>
      <c r="BC40" s="1940"/>
      <c r="BD40" s="1940"/>
      <c r="BE40" s="1940"/>
      <c r="BF40" s="1940"/>
      <c r="BG40" s="1940"/>
      <c r="BH40" s="1940"/>
      <c r="BI40" s="1940"/>
      <c r="BJ40" s="1940"/>
      <c r="BK40" s="1940"/>
      <c r="BL40" s="1940"/>
    </row>
    <row customHeight="1" ht="11.25">
      <c r="AK41" s="784"/>
    </row>
    <row customHeight="1" ht="11.25">
      <c r="AK42" s="784"/>
    </row>
    <row customHeight="1" ht="11.25">
      <c r="AK43" s="784"/>
    </row>
    <row customHeight="1" ht="11.25">
      <c r="AK44" s="784"/>
    </row>
    <row customHeight="1" ht="11.25">
      <c r="AK45" s="784"/>
    </row>
    <row customHeight="1" ht="11.25">
      <c r="AK46" s="784"/>
    </row>
    <row customHeight="1" ht="11.25">
      <c r="AK47" s="784"/>
    </row>
    <row customHeight="1" ht="11.25">
      <c r="AK48" s="784"/>
    </row>
    <row customHeight="1" ht="11.25">
      <c r="AK49" s="784"/>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C8BAD-C601-6192-66B6-04E9D9F7913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38014" width="43.140625"/>
    <col min="2" max="2" style="38014" width="43.140625" hidden="1"/>
    <col min="3" max="3" style="38014" width="43.140625"/>
    <col min="4" max="5" style="38014" width="36.421875" customWidth="1"/>
    <col min="6" max="8" style="38015" width="36.421875" customWidth="1"/>
  </cols>
  <sheetData>
    <row customHeight="1" ht="9">
      <c r="A1" s="1207" t="s">
        <v>1912</v>
      </c>
      <c r="B1" s="1207"/>
      <c r="C1" s="1344" t="s">
        <v>1913</v>
      </c>
      <c r="D1" s="1342" t="s">
        <v>763</v>
      </c>
      <c r="E1" s="1342" t="s">
        <v>809</v>
      </c>
      <c r="F1" s="1342" t="s">
        <v>864</v>
      </c>
      <c r="G1" s="1342" t="s">
        <v>850</v>
      </c>
      <c r="H1" s="1342" t="s">
        <v>1586</v>
      </c>
    </row>
    <row customHeight="1" ht="9">
      <c r="A2" s="1345" t="s">
        <v>1914</v>
      </c>
      <c r="B2" s="1345"/>
      <c r="C2" s="1346" t="str">
        <f>INDEX(TEMPLATE_NUMBER_FORM_LIST,MATCH(TEMPLATE_SPHERE,TEMPLATE_SPHERE_LIST,0))</f>
        <v>10</v>
      </c>
      <c r="D2" s="1345" t="s">
        <v>98</v>
      </c>
      <c r="E2" s="1345" t="s">
        <v>157</v>
      </c>
      <c r="F2" s="1347" t="s">
        <v>157</v>
      </c>
      <c r="G2" s="1345" t="s">
        <v>157</v>
      </c>
      <c r="H2" s="1348"/>
    </row>
    <row customHeight="1" ht="63">
      <c r="A3" s="1207"/>
      <c r="B3" s="1207" t="s">
        <v>118</v>
      </c>
      <c r="C3" s="134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346" t="s">
        <v>1915</v>
      </c>
      <c r="E3" s="134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347"/>
      <c r="G3" s="1348"/>
      <c r="H3" s="1207"/>
    </row>
    <row customHeight="1" ht="243">
      <c r="A4" s="1207" t="s">
        <v>1916</v>
      </c>
      <c r="B4" s="1207" t="s">
        <v>102</v>
      </c>
      <c r="C4" s="1346" t="str">
        <f>IF(TEMPLATE_SPHERE="HEAT",D4,IF(TEMPLATE_SPHERE="TKO",H4,E4))</f>
        <v>Форма 1. Информация об организации, осуществляющей горячее водоснабжение (общая информация)</v>
      </c>
      <c r="D4" s="1345" t="s">
        <v>1917</v>
      </c>
      <c r="E4" s="134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345"/>
      <c r="G4" s="1345"/>
      <c r="H4" s="1207" t="s">
        <v>1918</v>
      </c>
    </row>
    <row customHeight="1" ht="117">
      <c r="A5" s="1207" t="s">
        <v>1919</v>
      </c>
      <c r="B5" s="1207" t="s">
        <v>89</v>
      </c>
      <c r="C5" s="134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1207" t="s">
        <v>1920</v>
      </c>
      <c r="E5" s="121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348"/>
      <c r="G5" s="1348"/>
      <c r="H5" s="1207" t="s">
        <v>1921</v>
      </c>
    </row>
    <row customHeight="1" ht="45">
      <c r="A6" s="1207" t="s">
        <v>1922</v>
      </c>
      <c r="B6" s="1207" t="s">
        <v>90</v>
      </c>
      <c r="C6" s="1346"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1207" t="s">
        <v>1923</v>
      </c>
      <c r="E6" s="121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1207"/>
      <c r="G6" s="1207"/>
      <c r="H6" s="1348"/>
    </row>
    <row customHeight="1" ht="45">
      <c r="A7" s="1207" t="s">
        <v>1924</v>
      </c>
      <c r="B7" s="1207" t="s">
        <v>119</v>
      </c>
      <c r="C7" s="134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207" t="s">
        <v>1925</v>
      </c>
      <c r="E7" s="1207" t="s">
        <v>1926</v>
      </c>
      <c r="F7" s="1348"/>
      <c r="G7" s="1348"/>
      <c r="H7" s="1348"/>
    </row>
    <row customHeight="1" ht="108">
      <c r="A8" s="1207" t="s">
        <v>1927</v>
      </c>
      <c r="B8" s="1207" t="s">
        <v>91</v>
      </c>
      <c r="C8" s="134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207" t="s">
        <v>1127</v>
      </c>
      <c r="E8" s="1207" t="s">
        <v>1928</v>
      </c>
      <c r="F8" s="1348"/>
      <c r="G8" s="1348"/>
      <c r="H8" s="1348"/>
    </row>
    <row customHeight="1" ht="99">
      <c r="A9" s="1207" t="s">
        <v>1929</v>
      </c>
      <c r="B9" s="1207"/>
      <c r="C9" s="1207" t="s">
        <v>1930</v>
      </c>
      <c r="D9" s="1207"/>
      <c r="E9" s="1207"/>
      <c r="F9" s="1348"/>
      <c r="G9" s="1348"/>
      <c r="H9" s="1348"/>
    </row>
    <row customHeight="1" ht="126">
      <c r="A10" s="1207" t="s">
        <v>1931</v>
      </c>
      <c r="B10" s="1207"/>
      <c r="C10" s="1207" t="s">
        <v>1932</v>
      </c>
      <c r="D10" s="1207"/>
      <c r="E10" s="1207"/>
      <c r="F10" s="1348"/>
      <c r="G10" s="1348"/>
      <c r="H10" s="1348"/>
    </row>
    <row customHeight="1" ht="108">
      <c r="A11" s="1207" t="s">
        <v>1933</v>
      </c>
      <c r="B11" s="1207"/>
      <c r="C11" s="1207" t="s">
        <v>1934</v>
      </c>
      <c r="D11" s="1207"/>
      <c r="E11" s="1207"/>
      <c r="F11" s="1348"/>
      <c r="G11" s="1348"/>
      <c r="H11" s="1348"/>
    </row>
    <row customHeight="1" ht="54">
      <c r="A12" s="1207" t="s">
        <v>1935</v>
      </c>
      <c r="B12" s="1207"/>
      <c r="C12" s="1207" t="s">
        <v>1936</v>
      </c>
      <c r="D12" s="1207"/>
      <c r="E12" s="1207"/>
      <c r="F12" s="1348"/>
      <c r="G12" s="1348"/>
      <c r="H12" s="1348"/>
    </row>
    <row customHeight="1" ht="45">
      <c r="A13" s="1207" t="s">
        <v>1937</v>
      </c>
      <c r="B13" s="1207"/>
      <c r="C13" s="1207" t="s">
        <v>1938</v>
      </c>
      <c r="D13" s="1207"/>
      <c r="E13" s="1207"/>
      <c r="F13" s="1348"/>
      <c r="G13" s="1348"/>
      <c r="H13" s="1348"/>
    </row>
    <row customHeight="1" ht="117">
      <c r="A14" s="1207" t="s">
        <v>1939</v>
      </c>
      <c r="B14" s="1207"/>
      <c r="C14" s="1207" t="s">
        <v>1940</v>
      </c>
      <c r="D14" s="1207"/>
      <c r="E14" s="1207"/>
      <c r="F14" s="1348"/>
      <c r="G14" s="1348"/>
      <c r="H14" s="1348"/>
    </row>
    <row customHeight="1" ht="117">
      <c r="A15" s="1207" t="s">
        <v>1941</v>
      </c>
      <c r="B15" s="1207"/>
      <c r="C15" s="1207" t="s">
        <v>1942</v>
      </c>
      <c r="D15" s="1207"/>
      <c r="E15" s="1207"/>
      <c r="F15" s="1348"/>
      <c r="G15" s="1348"/>
      <c r="H15" s="1348"/>
    </row>
    <row customHeight="1" ht="63">
      <c r="A16" s="1207" t="s">
        <v>1943</v>
      </c>
      <c r="B16" s="1207"/>
      <c r="C16" s="1207" t="s">
        <v>1944</v>
      </c>
      <c r="D16" s="1207"/>
      <c r="E16" s="1207"/>
      <c r="F16" s="1348"/>
      <c r="G16" s="1348"/>
      <c r="H16" s="1348"/>
    </row>
    <row customHeight="1" ht="54">
      <c r="A17" s="1207" t="s">
        <v>1945</v>
      </c>
      <c r="B17" s="1207"/>
      <c r="C17" s="1346" t="s">
        <v>1946</v>
      </c>
      <c r="D17" s="1207"/>
      <c r="E17" s="1207"/>
      <c r="F17" s="1348"/>
      <c r="G17" s="1348"/>
      <c r="H17" s="1348"/>
    </row>
    <row customHeight="1" ht="27">
      <c r="A18" s="1207" t="s">
        <v>1947</v>
      </c>
      <c r="B18" s="1207"/>
      <c r="C18" s="1346" t="s">
        <v>1948</v>
      </c>
      <c r="D18" s="1207"/>
      <c r="E18" s="1207"/>
      <c r="F18" s="1348"/>
      <c r="G18" s="1348"/>
      <c r="H18" s="1348"/>
    </row>
    <row customHeight="1" ht="54">
      <c r="A19" s="1207" t="s">
        <v>1949</v>
      </c>
      <c r="B19" s="1207"/>
      <c r="C19" s="1346" t="s">
        <v>1950</v>
      </c>
      <c r="D19" s="1207"/>
      <c r="E19" s="1207"/>
      <c r="F19" s="1348"/>
      <c r="G19" s="1348"/>
      <c r="H19" s="1348"/>
    </row>
    <row customHeight="1" ht="36">
      <c r="A20" s="1207" t="s">
        <v>1951</v>
      </c>
      <c r="B20" s="1207"/>
      <c r="C20" s="1346" t="s">
        <v>1952</v>
      </c>
      <c r="D20" s="1207"/>
      <c r="E20" s="1207"/>
      <c r="F20" s="1348"/>
      <c r="G20" s="1348"/>
      <c r="H20" s="1348"/>
    </row>
    <row customHeight="1" ht="36">
      <c r="A21" s="1207" t="s">
        <v>1953</v>
      </c>
      <c r="B21" s="1207"/>
      <c r="C21" s="1346" t="s">
        <v>1954</v>
      </c>
      <c r="D21" s="1207"/>
      <c r="E21" s="1207"/>
      <c r="F21" s="1348"/>
      <c r="G21" s="1348"/>
      <c r="H21" s="1348"/>
    </row>
    <row customHeight="1" ht="27">
      <c r="A22" s="1207" t="s">
        <v>1955</v>
      </c>
      <c r="B22" s="1207"/>
      <c r="C22" s="1346" t="s">
        <v>1956</v>
      </c>
      <c r="D22" s="1207"/>
      <c r="E22" s="1207"/>
      <c r="F22" s="1348"/>
      <c r="G22" s="1348"/>
      <c r="H22" s="1348"/>
    </row>
    <row customHeight="1" ht="36">
      <c r="A23" s="1207" t="s">
        <v>1957</v>
      </c>
      <c r="B23" s="1207"/>
      <c r="C23" s="1346" t="s">
        <v>1958</v>
      </c>
      <c r="D23" s="1207"/>
      <c r="E23" s="1207"/>
      <c r="F23" s="1348"/>
      <c r="G23" s="1348"/>
      <c r="H23" s="1348"/>
    </row>
    <row customHeight="1" ht="28.5">
      <c r="A24" s="1207" t="s">
        <v>1959</v>
      </c>
      <c r="B24" s="1207"/>
      <c r="C24" s="1346" t="s">
        <v>1960</v>
      </c>
      <c r="D24" s="1207"/>
      <c r="E24" s="1207"/>
      <c r="F24" s="1348"/>
      <c r="G24" s="1348"/>
      <c r="H24" s="1348"/>
    </row>
    <row customHeight="1" ht="36">
      <c r="A25" s="1207" t="s">
        <v>1961</v>
      </c>
      <c r="B25" s="1207"/>
      <c r="C25" s="1346" t="s">
        <v>1962</v>
      </c>
      <c r="D25" s="1207"/>
      <c r="E25" s="1207"/>
      <c r="F25" s="1348"/>
      <c r="G25" s="1348"/>
      <c r="H25" s="1348"/>
    </row>
    <row customHeight="1" ht="27">
      <c r="A26" s="1207" t="s">
        <v>1963</v>
      </c>
      <c r="B26" s="1207"/>
      <c r="C26" s="1346" t="s">
        <v>1964</v>
      </c>
      <c r="D26" s="1207"/>
      <c r="E26" s="1207"/>
      <c r="F26" s="1348"/>
      <c r="G26" s="1348"/>
      <c r="H26" s="1348"/>
    </row>
    <row customHeight="1" ht="36">
      <c r="A27" s="1207" t="s">
        <v>1965</v>
      </c>
      <c r="B27" s="1207"/>
      <c r="C27" s="1346" t="s">
        <v>1966</v>
      </c>
      <c r="D27" s="1207"/>
      <c r="E27" s="1207"/>
      <c r="F27" s="1348"/>
      <c r="G27" s="1348"/>
      <c r="H27" s="1348"/>
    </row>
    <row customHeight="1" ht="28.5">
      <c r="A28" s="1207" t="s">
        <v>1967</v>
      </c>
      <c r="B28" s="1207"/>
      <c r="C28" s="1346" t="s">
        <v>1968</v>
      </c>
      <c r="D28" s="1207"/>
      <c r="E28" s="1207"/>
      <c r="F28" s="1348"/>
      <c r="G28" s="1348"/>
      <c r="H28" s="1348"/>
    </row>
    <row customHeight="1" ht="126">
      <c r="A29" s="1207" t="s">
        <v>1969</v>
      </c>
      <c r="B29" s="1207" t="s">
        <v>1539</v>
      </c>
      <c r="C29" s="1346"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1207" t="s">
        <v>1970</v>
      </c>
      <c r="E29" s="121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348"/>
      <c r="G29" s="1348"/>
      <c r="H29" s="1207" t="s">
        <v>1971</v>
      </c>
    </row>
    <row customHeight="1" ht="36">
      <c r="A30" s="1207" t="s">
        <v>1972</v>
      </c>
      <c r="B30" s="1207"/>
      <c r="C30" s="134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1207" t="s">
        <v>1973</v>
      </c>
      <c r="E30" s="121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348"/>
      <c r="G30" s="1348"/>
      <c r="H30" s="1348"/>
    </row>
    <row customHeight="1" ht="54">
      <c r="A31" s="1207" t="s">
        <v>1974</v>
      </c>
      <c r="B31" s="1207"/>
      <c r="C31" s="1346" t="str">
        <f>IF(TEMPLATE_SPHERE="HEAT",D31,IF(TEMPLATE_SPHERE="TKO",H31,E31))</f>
        <v>Форма 1. Информация об организации, осуществляющей горячее водоснабжение (общая информация)</v>
      </c>
      <c r="D31" s="1207" t="s">
        <v>1975</v>
      </c>
      <c r="E31" s="121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348"/>
      <c r="G31" s="1348"/>
      <c r="H31" s="1348"/>
    </row>
    <row customHeight="1" ht="198">
      <c r="A32" s="1207" t="s">
        <v>1976</v>
      </c>
      <c r="B32" s="1207"/>
      <c r="C32" s="1346" t="str">
        <f>IF(TEMPLATE_SPHERE="HEAT",D32,IF(TEMPLATE_SPHERE="TKO",H32,E32))</f>
        <v>Форма 7. Информация об инвестиционных программах организации горячего водоснабжения и отчетах об их исполнении</v>
      </c>
      <c r="D32" s="1207" t="s">
        <v>1977</v>
      </c>
      <c r="E32" s="121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348"/>
      <c r="G32" s="1348"/>
      <c r="H32" s="1207" t="s">
        <v>1978</v>
      </c>
    </row>
    <row customHeight="1" ht="9">
      <c r="A33" s="1207"/>
      <c r="B33" s="1207"/>
      <c r="C33" s="1346"/>
      <c r="D33" s="1207"/>
      <c r="E33" s="1207"/>
      <c r="F33" s="1348"/>
      <c r="G33" s="1348"/>
      <c r="H33" s="1348"/>
    </row>
    <row customHeight="1" ht="9">
      <c r="A34" s="1207"/>
      <c r="B34" s="1207" t="s">
        <v>1475</v>
      </c>
      <c r="C34" s="1346">
        <f>INDEX(TEMPLATE_NAME_FORM_LIST,B34,MATCH(TEMPLATE_SPHERE,TEMPLATE_SPHERE_LIST,0))</f>
        <v>0</v>
      </c>
      <c r="D34" s="1207"/>
      <c r="E34" s="1207"/>
      <c r="F34" s="1348"/>
      <c r="G34" s="1348"/>
      <c r="H34" s="134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3EE0ABA-EE81-C28D-800B-FF193E17F49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38014" width="9.140625"/>
    <col min="3" max="7" style="38058" width="8.00390625" customWidth="1"/>
    <col min="8" max="12" style="38058" width="8.57421875" customWidth="1"/>
    <col min="13" max="14" style="38058" width="27.7109375" customWidth="1"/>
    <col min="15" max="19" style="38058" width="5.140625" customWidth="1"/>
    <col min="20" max="24" style="38058" width="27.7109375" customWidth="1"/>
    <col min="25" max="25" style="38059" width="1.8515625" customWidth="1"/>
    <col min="26" max="26" style="38014" width="27.7109375" customWidth="1"/>
    <col min="27" max="27" style="38060" width="27.7109375" customWidth="1"/>
    <col min="28" max="29" style="38014" width="27.7109375" customWidth="1"/>
    <col min="30" max="30" style="38014" width="3.8515625" customWidth="1"/>
    <col min="31" max="34" style="38014" width="9.140625"/>
  </cols>
  <sheetData>
    <row s="38016" customFormat="1" customHeight="1" ht="18">
      <c r="A1" s="1259"/>
      <c r="B1" s="1259"/>
      <c r="C1" s="1259" t="s">
        <v>1979</v>
      </c>
      <c r="D1" s="1259"/>
      <c r="E1" s="1259"/>
      <c r="F1" s="1259"/>
      <c r="G1" s="1259"/>
      <c r="H1" s="1259" t="s">
        <v>1980</v>
      </c>
      <c r="I1" s="1259"/>
      <c r="J1" s="1259"/>
      <c r="K1" s="1259"/>
      <c r="L1" s="1259"/>
      <c r="M1" s="1259" t="s">
        <v>1981</v>
      </c>
      <c r="N1" s="1259" t="s">
        <v>1982</v>
      </c>
      <c r="O1" s="2848" t="s">
        <v>1983</v>
      </c>
      <c r="P1" s="2848"/>
      <c r="Q1" s="2848"/>
      <c r="R1" s="2848"/>
      <c r="S1" s="2848"/>
      <c r="T1" s="2848" t="s">
        <v>1981</v>
      </c>
      <c r="U1" s="2848"/>
      <c r="V1" s="2848"/>
      <c r="W1" s="2848"/>
      <c r="X1" s="2848"/>
      <c r="Y1" s="1361"/>
      <c r="Z1" s="2848" t="s">
        <v>1984</v>
      </c>
      <c r="AA1" s="2848"/>
      <c r="AB1" s="2848"/>
      <c r="AC1" s="2848"/>
      <c r="AD1" s="2848"/>
    </row>
    <row customHeight="1" ht="18">
      <c r="A2" s="1207"/>
      <c r="B2" s="1207"/>
      <c r="C2" s="1202" t="s">
        <v>763</v>
      </c>
      <c r="D2" s="1202" t="s">
        <v>809</v>
      </c>
      <c r="E2" s="1202" t="s">
        <v>864</v>
      </c>
      <c r="F2" s="1202" t="s">
        <v>850</v>
      </c>
      <c r="G2" s="1202" t="s">
        <v>1586</v>
      </c>
      <c r="H2" s="1204"/>
      <c r="I2" s="1204"/>
      <c r="J2" s="1204"/>
      <c r="K2" s="1204"/>
      <c r="L2" s="1204"/>
      <c r="M2" s="1204"/>
      <c r="N2" s="1204"/>
      <c r="O2" s="1202" t="s">
        <v>763</v>
      </c>
      <c r="P2" s="1202" t="s">
        <v>809</v>
      </c>
      <c r="Q2" s="1202" t="s">
        <v>850</v>
      </c>
      <c r="R2" s="1202" t="s">
        <v>864</v>
      </c>
      <c r="S2" s="1202" t="s">
        <v>1586</v>
      </c>
      <c r="T2" s="1202" t="s">
        <v>763</v>
      </c>
      <c r="U2" s="1202" t="s">
        <v>809</v>
      </c>
      <c r="V2" s="1202" t="s">
        <v>850</v>
      </c>
      <c r="W2" s="1202" t="s">
        <v>864</v>
      </c>
      <c r="X2" s="1202" t="s">
        <v>1586</v>
      </c>
      <c r="Y2" s="1202"/>
      <c r="Z2" s="1202" t="s">
        <v>763</v>
      </c>
      <c r="AA2" s="1211" t="s">
        <v>809</v>
      </c>
      <c r="AB2" s="1202" t="s">
        <v>850</v>
      </c>
      <c r="AC2" s="1202" t="s">
        <v>864</v>
      </c>
      <c r="AD2" s="1202" t="s">
        <v>1586</v>
      </c>
    </row>
    <row customHeight="1" ht="162">
      <c r="A3" s="1206" t="s">
        <v>22</v>
      </c>
      <c r="B3" s="1206"/>
      <c r="C3" s="2852" t="s">
        <v>1985</v>
      </c>
      <c r="D3" s="2853"/>
      <c r="E3" s="2853"/>
      <c r="F3" s="2854"/>
      <c r="G3" s="1204"/>
      <c r="H3" s="1204"/>
      <c r="I3" s="1204"/>
      <c r="J3" s="1204"/>
      <c r="K3" s="1204"/>
      <c r="L3" s="1204"/>
      <c r="M3" s="1204"/>
      <c r="N3" s="120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1204"/>
      <c r="P3" s="1204"/>
      <c r="Q3" s="1204"/>
      <c r="R3" s="1204"/>
      <c r="S3" s="1204"/>
      <c r="T3" s="1204"/>
      <c r="U3" s="1204"/>
      <c r="V3" s="1204"/>
      <c r="W3" s="1204"/>
      <c r="X3" s="1204"/>
      <c r="Y3" s="1362"/>
      <c r="Z3" s="1207" t="s">
        <v>1986</v>
      </c>
      <c r="AA3" s="1204" t="s">
        <v>1987</v>
      </c>
      <c r="AB3" s="1207" t="s">
        <v>1988</v>
      </c>
      <c r="AC3" s="1207" t="s">
        <v>1989</v>
      </c>
      <c r="AD3" s="1207"/>
      <c r="AG3" s="1207"/>
      <c r="AH3" s="1207"/>
    </row>
    <row customHeight="1" ht="9">
      <c r="A4" s="1206"/>
      <c r="B4" s="1206"/>
      <c r="C4" s="1204"/>
      <c r="D4" s="1204"/>
      <c r="E4" s="1204"/>
      <c r="F4" s="1204"/>
      <c r="G4" s="1204"/>
      <c r="H4" s="1204"/>
      <c r="I4" s="1204"/>
      <c r="J4" s="1204"/>
      <c r="K4" s="1204"/>
      <c r="L4" s="1204"/>
      <c r="M4" s="1204"/>
      <c r="N4" s="1204"/>
      <c r="O4" s="1204"/>
      <c r="P4" s="1204"/>
      <c r="Q4" s="1204"/>
      <c r="R4" s="1204"/>
      <c r="S4" s="1204"/>
      <c r="T4" s="1204"/>
      <c r="U4" s="1204"/>
      <c r="V4" s="1204"/>
      <c r="W4" s="1204"/>
      <c r="X4" s="1204"/>
      <c r="Y4" s="1362"/>
      <c r="Z4" s="1207"/>
      <c r="AA4" s="1210"/>
      <c r="AB4" s="1207"/>
      <c r="AC4" s="1207"/>
      <c r="AD4" s="1207"/>
    </row>
    <row customHeight="1" ht="9">
      <c r="A5" s="1206"/>
      <c r="B5" s="1206"/>
      <c r="C5" s="1204"/>
      <c r="D5" s="1204"/>
      <c r="E5" s="1204"/>
      <c r="F5" s="1204"/>
      <c r="G5" s="1204"/>
      <c r="H5" s="1204"/>
      <c r="I5" s="1204"/>
      <c r="J5" s="1204"/>
      <c r="K5" s="1204"/>
      <c r="L5" s="1204"/>
      <c r="M5" s="1204"/>
      <c r="N5" s="1204"/>
      <c r="O5" s="1204"/>
      <c r="P5" s="1204"/>
      <c r="Q5" s="1204"/>
      <c r="R5" s="1204"/>
      <c r="S5" s="1204"/>
      <c r="T5" s="1204"/>
      <c r="U5" s="1204"/>
      <c r="V5" s="1204"/>
      <c r="W5" s="1204"/>
      <c r="X5" s="1204"/>
      <c r="Y5" s="1362"/>
      <c r="Z5" s="1207"/>
      <c r="AA5" s="1210"/>
      <c r="AB5" s="1207"/>
      <c r="AC5" s="1207"/>
      <c r="AD5" s="1207"/>
    </row>
    <row customHeight="1" ht="9">
      <c r="A6" s="1206"/>
      <c r="B6" s="1206"/>
      <c r="C6" s="1204"/>
      <c r="D6" s="1204"/>
      <c r="E6" s="1204"/>
      <c r="F6" s="1204"/>
      <c r="G6" s="1204"/>
      <c r="H6" s="1204"/>
      <c r="I6" s="1204"/>
      <c r="J6" s="1204"/>
      <c r="K6" s="1204"/>
      <c r="L6" s="1204"/>
      <c r="M6" s="1204"/>
      <c r="N6" s="1204"/>
      <c r="O6" s="1204"/>
      <c r="P6" s="1204"/>
      <c r="Q6" s="1204"/>
      <c r="R6" s="1204"/>
      <c r="S6" s="1204"/>
      <c r="T6" s="1204"/>
      <c r="U6" s="1204"/>
      <c r="V6" s="1204"/>
      <c r="W6" s="1204"/>
      <c r="X6" s="1204"/>
      <c r="Y6" s="1362"/>
      <c r="Z6" s="1207"/>
      <c r="AA6" s="1210"/>
      <c r="AB6" s="1207"/>
      <c r="AC6" s="1207"/>
      <c r="AD6" s="1207"/>
    </row>
    <row customHeight="1" ht="9">
      <c r="A7" s="1206"/>
      <c r="B7" s="1206"/>
      <c r="C7" s="1204"/>
      <c r="D7" s="1204"/>
      <c r="E7" s="1204"/>
      <c r="F7" s="1204"/>
      <c r="G7" s="1204"/>
      <c r="H7" s="1204"/>
      <c r="I7" s="1204"/>
      <c r="J7" s="1204"/>
      <c r="K7" s="1204"/>
      <c r="L7" s="1204"/>
      <c r="M7" s="1204"/>
      <c r="N7" s="1204"/>
      <c r="O7" s="1204"/>
      <c r="P7" s="1204"/>
      <c r="Q7" s="1204"/>
      <c r="R7" s="1204"/>
      <c r="S7" s="1204"/>
      <c r="T7" s="1204"/>
      <c r="U7" s="1204"/>
      <c r="V7" s="1204"/>
      <c r="W7" s="1204"/>
      <c r="X7" s="1204"/>
      <c r="Y7" s="1362"/>
      <c r="Z7" s="1207"/>
      <c r="AA7" s="1210"/>
      <c r="AB7" s="1207"/>
      <c r="AC7" s="1207"/>
      <c r="AD7" s="1207"/>
    </row>
    <row customHeight="1" ht="9">
      <c r="A8" s="1206"/>
      <c r="B8" s="1206"/>
      <c r="C8" s="1204"/>
      <c r="D8" s="1204"/>
      <c r="E8" s="1204"/>
      <c r="F8" s="1204"/>
      <c r="G8" s="1204"/>
      <c r="H8" s="1204"/>
      <c r="I8" s="1204"/>
      <c r="J8" s="1204"/>
      <c r="K8" s="1204"/>
      <c r="L8" s="1204"/>
      <c r="M8" s="1204"/>
      <c r="N8" s="1204"/>
      <c r="O8" s="1204"/>
      <c r="P8" s="1204"/>
      <c r="Q8" s="1204"/>
      <c r="R8" s="1204"/>
      <c r="S8" s="1204"/>
      <c r="T8" s="1204"/>
      <c r="U8" s="1204"/>
      <c r="V8" s="1204"/>
      <c r="W8" s="1204"/>
      <c r="X8" s="1204"/>
      <c r="Y8" s="1362"/>
      <c r="Z8" s="1207"/>
      <c r="AA8" s="1210"/>
      <c r="AB8" s="1207"/>
      <c r="AC8" s="1207"/>
      <c r="AD8" s="1207"/>
    </row>
    <row customHeight="1" ht="9">
      <c r="A9" s="1206"/>
      <c r="B9" s="1206"/>
      <c r="C9" s="1204"/>
      <c r="D9" s="1204"/>
      <c r="E9" s="1204"/>
      <c r="F9" s="1204"/>
      <c r="G9" s="1204"/>
      <c r="H9" s="1204"/>
      <c r="I9" s="1204"/>
      <c r="J9" s="1204"/>
      <c r="K9" s="1204"/>
      <c r="L9" s="1204"/>
      <c r="M9" s="1204"/>
      <c r="N9" s="1204"/>
      <c r="O9" s="1204"/>
      <c r="P9" s="1204"/>
      <c r="Q9" s="1204"/>
      <c r="R9" s="1204"/>
      <c r="S9" s="1204"/>
      <c r="T9" s="1204"/>
      <c r="U9" s="1204"/>
      <c r="V9" s="1204"/>
      <c r="W9" s="1204"/>
      <c r="X9" s="1204"/>
      <c r="Y9" s="1362"/>
      <c r="Z9" s="1207"/>
      <c r="AA9" s="1210"/>
      <c r="AB9" s="1207"/>
      <c r="AC9" s="1207"/>
      <c r="AD9" s="1207"/>
    </row>
    <row customHeight="1" ht="9">
      <c r="A10" s="1260"/>
      <c r="B10" s="1260"/>
      <c r="C10" s="1260"/>
      <c r="D10" s="1260"/>
      <c r="E10" s="1260"/>
      <c r="F10" s="1260"/>
      <c r="G10" s="1260"/>
      <c r="H10" s="1260"/>
      <c r="I10" s="1260"/>
      <c r="J10" s="1260"/>
      <c r="K10" s="1260"/>
      <c r="L10" s="1260"/>
      <c r="M10" s="1260"/>
      <c r="N10" s="1260"/>
      <c r="O10" s="1260"/>
      <c r="P10" s="1260"/>
      <c r="Q10" s="1260"/>
      <c r="R10" s="1260"/>
      <c r="S10" s="1260"/>
      <c r="T10" s="1260"/>
      <c r="U10" s="1260"/>
      <c r="V10" s="1260"/>
      <c r="W10" s="1260"/>
      <c r="X10" s="1260"/>
      <c r="Y10" s="1260"/>
      <c r="Z10" s="1260"/>
      <c r="AA10" s="1260"/>
      <c r="AB10" s="1260"/>
      <c r="AC10" s="1260"/>
      <c r="AD10" s="1260"/>
    </row>
    <row customHeight="1" ht="45">
      <c r="A11" s="2849" t="s">
        <v>29</v>
      </c>
      <c r="B11" s="1260">
        <v>1</v>
      </c>
      <c r="C11" s="2855" t="s">
        <v>1526</v>
      </c>
      <c r="D11" s="2855" t="s">
        <v>1522</v>
      </c>
      <c r="E11" s="2855" t="s">
        <v>1619</v>
      </c>
      <c r="F11" s="2855" t="s">
        <v>1990</v>
      </c>
      <c r="G11" s="2855"/>
      <c r="H11" s="1259" t="s">
        <v>1991</v>
      </c>
      <c r="I11" s="1259"/>
      <c r="J11" s="1259"/>
      <c r="K11" s="1259"/>
      <c r="L11" s="1259"/>
      <c r="M11" s="1205" t="str">
        <f>IF(TEMPLATE_SPHERE="HEAT",T11,U11)</f>
        <v>Количество поданных заявлений </v>
      </c>
      <c r="N11" s="120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1204"/>
      <c r="P11" s="1204"/>
      <c r="Q11" s="1204"/>
      <c r="R11" s="1204"/>
      <c r="S11" s="1204"/>
      <c r="T11" s="1204" t="s">
        <v>1992</v>
      </c>
      <c r="U11" s="1204" t="s">
        <v>1993</v>
      </c>
      <c r="V11" s="1204"/>
      <c r="W11" s="1204"/>
      <c r="X11" s="1204"/>
      <c r="Y11" s="1362"/>
      <c r="Z11" s="1207" t="s">
        <v>1994</v>
      </c>
      <c r="AA11" s="121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1207"/>
      <c r="AC11" s="1207"/>
      <c r="AD11" s="1207"/>
    </row>
    <row customHeight="1" ht="45">
      <c r="A12" s="2849"/>
      <c r="B12" s="1260">
        <v>2</v>
      </c>
      <c r="C12" s="2856"/>
      <c r="D12" s="2856"/>
      <c r="E12" s="2856"/>
      <c r="F12" s="2856"/>
      <c r="G12" s="2856"/>
      <c r="H12" s="1259" t="s">
        <v>1995</v>
      </c>
      <c r="I12" s="1259"/>
      <c r="J12" s="1259"/>
      <c r="K12" s="1259"/>
      <c r="L12" s="1259"/>
      <c r="M12" s="1205" t="str">
        <f>IF(TEMPLATE_SPHERE="HEAT",T12,U12)</f>
        <v>Количество исполненных заявлений </v>
      </c>
      <c r="N12" s="120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1204"/>
      <c r="P12" s="1204"/>
      <c r="Q12" s="1204"/>
      <c r="R12" s="1204"/>
      <c r="S12" s="1204"/>
      <c r="T12" s="1204" t="s">
        <v>1996</v>
      </c>
      <c r="U12" s="1204" t="s">
        <v>1997</v>
      </c>
      <c r="V12" s="1204"/>
      <c r="W12" s="1204"/>
      <c r="X12" s="1204"/>
      <c r="Y12" s="1362"/>
      <c r="Z12" s="1207" t="s">
        <v>1998</v>
      </c>
      <c r="AA12" s="121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1207"/>
      <c r="AC12" s="1207"/>
      <c r="AD12" s="1207"/>
    </row>
    <row customHeight="1" ht="72">
      <c r="A13" s="2849"/>
      <c r="B13" s="1260">
        <v>3</v>
      </c>
      <c r="C13" s="2856"/>
      <c r="D13" s="2856"/>
      <c r="E13" s="2856"/>
      <c r="F13" s="2856"/>
      <c r="G13" s="2856"/>
      <c r="H13" s="2848" t="s">
        <v>1999</v>
      </c>
      <c r="I13" s="1259"/>
      <c r="J13" s="1259"/>
      <c r="K13" s="1259"/>
      <c r="L13" s="1259"/>
      <c r="M13" s="120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20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1204"/>
      <c r="P13" s="1205"/>
      <c r="Q13" s="1205"/>
      <c r="R13" s="1205"/>
      <c r="S13" s="1204"/>
      <c r="T13" s="1204" t="s">
        <v>2000</v>
      </c>
      <c r="U13" s="1205" t="s">
        <v>2001</v>
      </c>
      <c r="V13" s="1205"/>
      <c r="W13" s="1205"/>
      <c r="X13" s="1204"/>
      <c r="Y13" s="1362"/>
      <c r="Z13" s="1207" t="s">
        <v>2002</v>
      </c>
      <c r="AA13" s="121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1207"/>
      <c r="AC13" s="1207"/>
      <c r="AD13" s="1207"/>
    </row>
    <row customHeight="1" ht="45">
      <c r="A14" s="2849"/>
      <c r="B14" s="1260">
        <v>4</v>
      </c>
      <c r="C14" s="2856"/>
      <c r="D14" s="2856"/>
      <c r="E14" s="2856"/>
      <c r="F14" s="2856"/>
      <c r="G14" s="2856"/>
      <c r="H14" s="2848"/>
      <c r="I14" s="1262"/>
      <c r="J14" s="1262"/>
      <c r="K14" s="1262"/>
      <c r="L14" s="1262"/>
      <c r="M14" s="120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120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204"/>
      <c r="P14" s="1205"/>
      <c r="Q14" s="1205"/>
      <c r="R14" s="1205"/>
      <c r="S14" s="1204"/>
      <c r="T14" s="1204" t="s">
        <v>2003</v>
      </c>
      <c r="U14" s="120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1205"/>
      <c r="W14" s="1205"/>
      <c r="X14" s="1204"/>
      <c r="Y14" s="1362"/>
      <c r="Z14" s="1207" t="s">
        <v>2004</v>
      </c>
      <c r="AA14" s="1210" t="s">
        <v>2004</v>
      </c>
      <c r="AB14" s="1207"/>
      <c r="AC14" s="1207"/>
      <c r="AD14" s="1207"/>
    </row>
    <row customHeight="1" ht="108">
      <c r="A15" s="2849"/>
      <c r="B15" s="1260">
        <v>5</v>
      </c>
      <c r="C15" s="2856"/>
      <c r="D15" s="2856"/>
      <c r="E15" s="2856"/>
      <c r="F15" s="2856"/>
      <c r="G15" s="2856"/>
      <c r="H15" s="2850" t="s">
        <v>2005</v>
      </c>
      <c r="I15" s="1261"/>
      <c r="J15" s="1261"/>
      <c r="K15" s="1261"/>
      <c r="L15" s="1261"/>
      <c r="M15" s="121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120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1204"/>
      <c r="P15" s="1205"/>
      <c r="Q15" s="1205"/>
      <c r="R15" s="1205"/>
      <c r="S15" s="1204"/>
      <c r="T15" s="1204" t="s">
        <v>2006</v>
      </c>
      <c r="U15" s="120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1205"/>
      <c r="W15" s="1205"/>
      <c r="X15" s="1204"/>
      <c r="Y15" s="1362"/>
      <c r="Z15" s="1207" t="s">
        <v>2007</v>
      </c>
      <c r="AA15" s="121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1207"/>
      <c r="AC15" s="1207"/>
      <c r="AD15" s="1207"/>
    </row>
    <row customHeight="1" ht="108">
      <c r="A16" s="1260"/>
      <c r="B16" s="1260">
        <v>6</v>
      </c>
      <c r="C16" s="2857"/>
      <c r="D16" s="2857"/>
      <c r="E16" s="2857"/>
      <c r="F16" s="2857"/>
      <c r="G16" s="2857"/>
      <c r="H16" s="2851"/>
      <c r="I16" s="1324"/>
      <c r="J16" s="1324"/>
      <c r="K16" s="1324"/>
      <c r="L16" s="1324"/>
      <c r="M16" s="1253"/>
      <c r="N16" s="120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1204"/>
      <c r="P16" s="1205"/>
      <c r="Q16" s="1205"/>
      <c r="R16" s="1205"/>
      <c r="S16" s="1204"/>
      <c r="T16" s="1204"/>
      <c r="U16" s="1205"/>
      <c r="V16" s="1205"/>
      <c r="W16" s="1205"/>
      <c r="X16" s="1204"/>
      <c r="Y16" s="1362"/>
      <c r="Z16" s="1207" t="s">
        <v>2007</v>
      </c>
      <c r="AA16" s="121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1207"/>
      <c r="AC16" s="1207"/>
      <c r="AD16" s="1207"/>
    </row>
    <row customHeight="1" ht="9">
      <c r="A17" s="1260"/>
      <c r="B17" s="1260"/>
      <c r="C17" s="1260">
        <v>22</v>
      </c>
      <c r="D17" s="1260">
        <v>21</v>
      </c>
      <c r="E17" s="1260">
        <v>42</v>
      </c>
      <c r="F17" s="1260">
        <v>63</v>
      </c>
      <c r="G17" s="1260"/>
      <c r="H17" s="1260"/>
      <c r="I17" s="1260"/>
      <c r="J17" s="1260"/>
      <c r="K17" s="1260"/>
      <c r="L17" s="1260"/>
      <c r="M17" s="1260"/>
      <c r="N17" s="1260"/>
      <c r="O17" s="1260"/>
      <c r="P17" s="1260"/>
      <c r="Q17" s="1260"/>
      <c r="R17" s="1260"/>
      <c r="S17" s="1260"/>
      <c r="T17" s="1260"/>
      <c r="U17" s="1260"/>
      <c r="V17" s="1260"/>
      <c r="W17" s="1260"/>
      <c r="X17" s="1260"/>
      <c r="Y17" s="1260"/>
      <c r="Z17" s="1260"/>
      <c r="AA17" s="1260"/>
      <c r="AB17" s="1260"/>
      <c r="AC17" s="1260"/>
      <c r="AD17" s="1260"/>
    </row>
    <row customHeight="1" ht="27">
      <c r="A18" s="1206" t="s">
        <v>1622</v>
      </c>
      <c r="B18" s="1260">
        <v>1</v>
      </c>
      <c r="C18" s="1204" t="s">
        <v>1991</v>
      </c>
      <c r="D18" s="1329" t="s">
        <v>1991</v>
      </c>
      <c r="E18" s="1204" t="s">
        <v>1991</v>
      </c>
      <c r="F18" s="1204" t="s">
        <v>1991</v>
      </c>
      <c r="G18" s="1204"/>
      <c r="H18" s="1364"/>
      <c r="I18" s="1367">
        <f>INDEX(TEMPLATE_NUMBER_POINT_FHD,B18,MATCH(TEMPLATE_SPHERE,TEMPLATE_SPHERE_LIST_FOR_NOTE,0))</f>
        <v>1</v>
      </c>
      <c r="J18" s="1367" t="str">
        <f>INDEX(TEMPLATE_DATA_POINT_FHD,B18,MATCH(TEMPLATE_SPHERE,TEMPLATE_SPHERE_LIST_FOR_NOTE,0))</f>
        <v>Выручка от регулируемых видов деятельности в сфере горячего водоснабжения</v>
      </c>
      <c r="K18" s="1367" t="str">
        <f>INDEX(TEMPLATE_NOTE_POINT_FHD,B18,MATCH(TEMPLATE_SPHERE,TEMPLATE_SPHERE_LIST_FOR_NOTE,0))</f>
        <v>Указывается выручка с распределением по видам деятельности.</v>
      </c>
      <c r="L18" s="1205">
        <f>IF(I18=0,"",I18)</f>
        <v>1</v>
      </c>
      <c r="M18" s="1205" t="str">
        <f>IF(J18=0,"",J18)</f>
        <v>Выручка от регулируемых видов деятельности в сфере горячего водоснабжения</v>
      </c>
      <c r="N18" s="1205" t="str">
        <f>IF(K18=0,"",K18)</f>
        <v>Указывается выручка с распределением по видам деятельности.</v>
      </c>
      <c r="O18" s="1319">
        <v>1</v>
      </c>
      <c r="P18" s="1319">
        <v>1</v>
      </c>
      <c r="Q18" s="1319">
        <v>1</v>
      </c>
      <c r="R18" s="1319">
        <v>1</v>
      </c>
      <c r="S18" s="1319"/>
      <c r="T18" s="1326" t="s">
        <v>2008</v>
      </c>
      <c r="U18" s="1207" t="s">
        <v>2009</v>
      </c>
      <c r="V18" s="1207" t="s">
        <v>2010</v>
      </c>
      <c r="W18" s="1207" t="s">
        <v>2011</v>
      </c>
      <c r="X18" s="1204"/>
      <c r="Y18" s="1362"/>
      <c r="Z18" s="1207" t="s">
        <v>2012</v>
      </c>
      <c r="AA18" s="1210" t="s">
        <v>2013</v>
      </c>
      <c r="AB18" s="1210" t="s">
        <v>2013</v>
      </c>
      <c r="AC18" s="1210" t="s">
        <v>2013</v>
      </c>
      <c r="AD18" s="1207"/>
    </row>
    <row customHeight="1" ht="36">
      <c r="A19" s="1206"/>
      <c r="B19" s="1260">
        <v>2</v>
      </c>
      <c r="C19" s="1204" t="s">
        <v>1995</v>
      </c>
      <c r="D19" s="1329" t="s">
        <v>1995</v>
      </c>
      <c r="E19" s="1204" t="s">
        <v>1995</v>
      </c>
      <c r="F19" s="1204" t="s">
        <v>1995</v>
      </c>
      <c r="G19" s="1204"/>
      <c r="H19" s="1364"/>
      <c r="I19" s="1367">
        <f>INDEX(TEMPLATE_NUMBER_POINT_FHD,B19,MATCH(TEMPLATE_SPHERE,TEMPLATE_SPHERE_LIST_FOR_NOTE,0))</f>
        <v>2</v>
      </c>
      <c r="J19" s="1367"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367" t="str">
        <f>INDEX(TEMPLATE_NOTE_POINT_FHD,B19,MATCH(TEMPLATE_SPHERE,TEMPLATE_SPHERE_LIST_FOR_NOTE,0))</f>
        <v>Указывается суммарная себестоимость производимых товаров.</v>
      </c>
      <c r="L19" s="1205">
        <f>IF(I19=0,"",I19)</f>
        <v>2</v>
      </c>
      <c r="M19" s="1205" t="str">
        <f>IF(J19=0,"",J19)</f>
        <v>Себестоимость производимых товаров (оказываемых услуг) по регулируемым видам деятельности в сфере горячего водоснабжения, включая:</v>
      </c>
      <c r="N19" s="1205" t="str">
        <f>IF(K19=0,"",K19)</f>
        <v>Указывается суммарная себестоимость производимых товаров.</v>
      </c>
      <c r="O19" s="1319">
        <v>2</v>
      </c>
      <c r="P19" s="1319">
        <v>2</v>
      </c>
      <c r="Q19" s="1319">
        <v>2</v>
      </c>
      <c r="R19" s="1319">
        <v>2</v>
      </c>
      <c r="S19" s="1319"/>
      <c r="T19" s="1326" t="s">
        <v>2014</v>
      </c>
      <c r="U19" s="1207" t="s">
        <v>2015</v>
      </c>
      <c r="V19" s="1207" t="s">
        <v>2016</v>
      </c>
      <c r="W19" s="1207" t="s">
        <v>2017</v>
      </c>
      <c r="X19" s="1204"/>
      <c r="Y19" s="1362"/>
      <c r="Z19" s="1207" t="s">
        <v>2018</v>
      </c>
      <c r="AA19" s="1210" t="s">
        <v>2018</v>
      </c>
      <c r="AB19" s="1210" t="s">
        <v>2018</v>
      </c>
      <c r="AC19" s="1210" t="s">
        <v>2018</v>
      </c>
      <c r="AD19" s="1207"/>
    </row>
    <row customHeight="1" ht="27">
      <c r="A20" s="1206"/>
      <c r="B20" s="1260">
        <v>3</v>
      </c>
      <c r="C20" s="1204">
        <v>1</v>
      </c>
      <c r="D20" s="1329"/>
      <c r="E20" s="1204"/>
      <c r="F20" s="1204"/>
      <c r="G20" s="1204"/>
      <c r="H20" s="1364"/>
      <c r="I20" s="1367" t="str">
        <f>INDEX(TEMPLATE_NUMBER_POINT_FHD,B20,MATCH(TEMPLATE_SPHERE,TEMPLATE_SPHERE_LIST_FOR_NOTE,0))</f>
        <v>2.1</v>
      </c>
      <c r="J20" s="1367" t="str">
        <f>INDEX(TEMPLATE_DATA_POINT_FHD,B20,MATCH(TEMPLATE_SPHERE,TEMPLATE_SPHERE_LIST_FOR_NOTE,0))</f>
        <v>Расходы на приобретаемую тепловую энергию (мощность), используемую для горячего водоснабжения</v>
      </c>
      <c r="K20" s="1367">
        <f>INDEX(TEMPLATE_NOTE_POINT_FHD,B20,MATCH(TEMPLATE_SPHERE,TEMPLATE_SPHERE_LIST_FOR_NOTE,0))</f>
        <v>0</v>
      </c>
      <c r="L20" s="1205" t="str">
        <f>IF(I20=0,"",I20)</f>
        <v>2.1</v>
      </c>
      <c r="M20" s="1205" t="str">
        <f>IF(J20=0,"",J20)</f>
        <v>Расходы на приобретаемую тепловую энергию (мощность), используемую для горячего водоснабжения</v>
      </c>
      <c r="N20" s="1205" t="str">
        <f>IF(K20=0,"",K20)</f>
        <v/>
      </c>
      <c r="O20" s="1319" t="s">
        <v>663</v>
      </c>
      <c r="P20" s="1319" t="s">
        <v>663</v>
      </c>
      <c r="Q20" s="1319" t="s">
        <v>663</v>
      </c>
      <c r="R20" s="1319" t="s">
        <v>663</v>
      </c>
      <c r="S20" s="1319"/>
      <c r="T20" s="1326" t="s">
        <v>2019</v>
      </c>
      <c r="U20" s="1207" t="s">
        <v>2020</v>
      </c>
      <c r="V20" s="1207" t="s">
        <v>2021</v>
      </c>
      <c r="W20" s="1207" t="s">
        <v>2022</v>
      </c>
      <c r="X20" s="1204"/>
      <c r="Y20" s="1362"/>
      <c r="Z20" s="1207"/>
      <c r="AA20" s="1210"/>
      <c r="AB20" s="1207"/>
      <c r="AC20" s="1207"/>
      <c r="AD20" s="1207"/>
    </row>
    <row customHeight="1" ht="36">
      <c r="A21" s="1206"/>
      <c r="B21" s="1260">
        <v>4</v>
      </c>
      <c r="C21" s="1204">
        <v>2</v>
      </c>
      <c r="D21" s="1329"/>
      <c r="E21" s="1204"/>
      <c r="F21" s="1204"/>
      <c r="G21" s="1204"/>
      <c r="H21" s="1364"/>
      <c r="I21" s="1367">
        <f>INDEX(TEMPLATE_NUMBER_POINT_FHD,B21,MATCH(TEMPLATE_SPHERE,TEMPLATE_SPHERE_LIST_FOR_NOTE,0))</f>
        <v>0</v>
      </c>
      <c r="J21" s="1367">
        <f>INDEX(TEMPLATE_DATA_POINT_FHD,B21,MATCH(TEMPLATE_SPHERE,TEMPLATE_SPHERE_LIST_FOR_NOTE,0))</f>
        <v>0</v>
      </c>
      <c r="K21" s="1367">
        <f>INDEX(TEMPLATE_NOTE_POINT_FHD,B21,MATCH(TEMPLATE_SPHERE,TEMPLATE_SPHERE_LIST_FOR_NOTE,0))</f>
        <v>0</v>
      </c>
      <c r="L21" s="1205" t="str">
        <f>IF(I21=0,"",I21)</f>
        <v/>
      </c>
      <c r="M21" s="1205" t="str">
        <f>IF(J21=0,"",J21)</f>
        <v/>
      </c>
      <c r="N21" s="1205" t="str">
        <f>IF(K21=0,"",K21)</f>
        <v/>
      </c>
      <c r="O21" s="1319" t="s">
        <v>348</v>
      </c>
      <c r="P21" s="1319"/>
      <c r="Q21" s="1319"/>
      <c r="R21" s="1319"/>
      <c r="S21" s="1319"/>
      <c r="T21" s="1326" t="s">
        <v>2023</v>
      </c>
      <c r="U21" s="1207"/>
      <c r="V21" s="1207"/>
      <c r="W21" s="1207"/>
      <c r="X21" s="1204"/>
      <c r="Y21" s="1362"/>
      <c r="Z21" s="1207" t="s">
        <v>2024</v>
      </c>
      <c r="AA21" s="1210"/>
      <c r="AB21" s="1207"/>
      <c r="AC21" s="1207"/>
      <c r="AD21" s="1207"/>
    </row>
    <row customHeight="1" ht="36">
      <c r="A22" s="1206"/>
      <c r="B22" s="1260">
        <v>5</v>
      </c>
      <c r="C22" s="1204">
        <v>3</v>
      </c>
      <c r="D22" s="1329"/>
      <c r="E22" s="1204"/>
      <c r="F22" s="1204"/>
      <c r="G22" s="1252"/>
      <c r="H22" s="1320"/>
      <c r="I22" s="1367" t="str">
        <f>INDEX(TEMPLATE_NUMBER_POINT_FHD,B22,MATCH(TEMPLATE_SPHERE,TEMPLATE_SPHERE_LIST_FOR_NOTE,0))</f>
        <v>2.2</v>
      </c>
      <c r="J22" s="1367"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367">
        <f>INDEX(TEMPLATE_NOTE_POINT_FHD,B22,MATCH(TEMPLATE_SPHERE,TEMPLATE_SPHERE_LIST_FOR_NOTE,0))</f>
        <v>0</v>
      </c>
      <c r="L22" s="1205" t="str">
        <f>IF(I22=0,"",I22)</f>
        <v>2.2</v>
      </c>
      <c r="M22" s="1205" t="str">
        <f>IF(J22=0,"",J22)</f>
        <v>Расходы на тепловую энергию, производимую с применением собственных источников и используемую для горячего водоснабжения</v>
      </c>
      <c r="N22" s="1205" t="str">
        <f>IF(K22=0,"",K22)</f>
        <v/>
      </c>
      <c r="O22" s="1319"/>
      <c r="P22" s="1319"/>
      <c r="Q22" s="1319" t="s">
        <v>348</v>
      </c>
      <c r="R22" s="1319"/>
      <c r="S22" s="1319"/>
      <c r="T22" s="1326"/>
      <c r="U22" s="1207"/>
      <c r="V22" s="1207" t="s">
        <v>2025</v>
      </c>
      <c r="W22" s="1207"/>
      <c r="X22" s="1204"/>
      <c r="Y22" s="1362"/>
      <c r="Z22" s="1207"/>
      <c r="AA22" s="1210"/>
      <c r="AB22" s="1207"/>
      <c r="AC22" s="1207"/>
      <c r="AD22" s="1207"/>
    </row>
    <row customHeight="1" ht="27">
      <c r="A23" s="1206"/>
      <c r="B23" s="1260">
        <v>6</v>
      </c>
      <c r="C23" s="1204">
        <v>4</v>
      </c>
      <c r="D23" s="1329"/>
      <c r="E23" s="1204"/>
      <c r="F23" s="1204"/>
      <c r="G23" s="1252"/>
      <c r="H23" s="1320"/>
      <c r="I23" s="1367" t="str">
        <f>INDEX(TEMPLATE_NUMBER_POINT_FHD,B23,MATCH(TEMPLATE_SPHERE,TEMPLATE_SPHERE_LIST_FOR_NOTE,0))</f>
        <v>2.3</v>
      </c>
      <c r="J23" s="1367" t="str">
        <f>INDEX(TEMPLATE_DATA_POINT_FHD,B23,MATCH(TEMPLATE_SPHERE,TEMPLATE_SPHERE_LIST_FOR_NOTE,0))</f>
        <v>Расходы на приобретаемую холодную воду, используемую для горячего водоснабжения</v>
      </c>
      <c r="K23" s="1367">
        <f>INDEX(TEMPLATE_NOTE_POINT_FHD,B23,MATCH(TEMPLATE_SPHERE,TEMPLATE_SPHERE_LIST_FOR_NOTE,0))</f>
        <v>0</v>
      </c>
      <c r="L23" s="1205" t="str">
        <f>IF(I23=0,"",I23)</f>
        <v>2.3</v>
      </c>
      <c r="M23" s="1205" t="str">
        <f>IF(J23=0,"",J23)</f>
        <v>Расходы на приобретаемую холодную воду, используемую для горячего водоснабжения</v>
      </c>
      <c r="N23" s="1205" t="str">
        <f>IF(K23=0,"",K23)</f>
        <v/>
      </c>
      <c r="O23" s="1319"/>
      <c r="P23" s="1319"/>
      <c r="Q23" s="1319" t="s">
        <v>351</v>
      </c>
      <c r="R23" s="1319"/>
      <c r="S23" s="1319"/>
      <c r="T23" s="1326"/>
      <c r="U23" s="1207"/>
      <c r="V23" s="1207" t="s">
        <v>2026</v>
      </c>
      <c r="W23" s="1207"/>
      <c r="X23" s="1204"/>
      <c r="Y23" s="1362"/>
      <c r="Z23" s="1207"/>
      <c r="AA23" s="1210"/>
      <c r="AB23" s="1207"/>
      <c r="AC23" s="1207"/>
      <c r="AD23" s="1207"/>
    </row>
    <row customHeight="1" ht="36">
      <c r="A24" s="1206"/>
      <c r="B24" s="1260">
        <v>7</v>
      </c>
      <c r="C24" s="1204">
        <v>5</v>
      </c>
      <c r="D24" s="1329"/>
      <c r="E24" s="1204"/>
      <c r="F24" s="1204"/>
      <c r="G24" s="1252"/>
      <c r="H24" s="1320"/>
      <c r="I24" s="1367" t="str">
        <f>INDEX(TEMPLATE_NUMBER_POINT_FHD,B24,MATCH(TEMPLATE_SPHERE,TEMPLATE_SPHERE_LIST_FOR_NOTE,0))</f>
        <v>2.4</v>
      </c>
      <c r="J24" s="1367"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367">
        <f>INDEX(TEMPLATE_NOTE_POINT_FHD,B24,MATCH(TEMPLATE_SPHERE,TEMPLATE_SPHERE_LIST_FOR_NOTE,0))</f>
        <v>0</v>
      </c>
      <c r="L24" s="1205" t="str">
        <f>IF(I24=0,"",I24)</f>
        <v>2.4</v>
      </c>
      <c r="M24" s="120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1205" t="str">
        <f>IF(K24=0,"",K24)</f>
        <v/>
      </c>
      <c r="O24" s="1319"/>
      <c r="P24" s="1319"/>
      <c r="Q24" s="1319" t="s">
        <v>683</v>
      </c>
      <c r="R24" s="1319"/>
      <c r="S24" s="1319"/>
      <c r="T24" s="1326"/>
      <c r="U24" s="1207"/>
      <c r="V24" s="1207" t="s">
        <v>2027</v>
      </c>
      <c r="W24" s="1207"/>
      <c r="X24" s="1204"/>
      <c r="Y24" s="1362"/>
      <c r="Z24" s="1207"/>
      <c r="AA24" s="1210"/>
      <c r="AB24" s="1207"/>
      <c r="AC24" s="1207"/>
      <c r="AD24" s="1207"/>
    </row>
    <row customHeight="1" ht="36">
      <c r="A25" s="1206"/>
      <c r="B25" s="1260">
        <v>8</v>
      </c>
      <c r="C25" s="1204">
        <v>6</v>
      </c>
      <c r="D25" s="1329"/>
      <c r="E25" s="1204"/>
      <c r="F25" s="1204"/>
      <c r="G25" s="1252"/>
      <c r="H25" s="1320"/>
      <c r="I25" s="1367" t="str">
        <f>INDEX(TEMPLATE_NUMBER_POINT_FHD,B25,MATCH(TEMPLATE_SPHERE,TEMPLATE_SPHERE_LIST_FOR_NOTE,0))</f>
        <v>2.5</v>
      </c>
      <c r="J25" s="136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367">
        <f>INDEX(TEMPLATE_NOTE_POINT_FHD,B25,MATCH(TEMPLATE_SPHERE,TEMPLATE_SPHERE_LIST_FOR_NOTE,0))</f>
        <v>0</v>
      </c>
      <c r="L25" s="1205" t="str">
        <f>IF(I25=0,"",I25)</f>
        <v>2.5</v>
      </c>
      <c r="M25" s="1205" t="str">
        <f>IF(J25=0,"",J25)</f>
        <v>Расходы на приобретаемую электрическую энергию (мощность), используемую в технологическом процессе</v>
      </c>
      <c r="N25" s="1205" t="str">
        <f>IF(K25=0,"",K25)</f>
        <v/>
      </c>
      <c r="O25" s="1319" t="s">
        <v>351</v>
      </c>
      <c r="P25" s="1319" t="s">
        <v>348</v>
      </c>
      <c r="Q25" s="1319" t="s">
        <v>690</v>
      </c>
      <c r="R25" s="1319" t="s">
        <v>348</v>
      </c>
      <c r="S25" s="1319"/>
      <c r="T25" s="1326" t="s">
        <v>2028</v>
      </c>
      <c r="U25" s="1207" t="s">
        <v>2028</v>
      </c>
      <c r="V25" s="1207" t="s">
        <v>2028</v>
      </c>
      <c r="W25" s="1207" t="s">
        <v>2028</v>
      </c>
      <c r="X25" s="1204"/>
      <c r="Y25" s="1362"/>
      <c r="Z25" s="1207"/>
      <c r="AA25" s="1210"/>
      <c r="AB25" s="1207"/>
      <c r="AC25" s="1207"/>
      <c r="AD25" s="1207"/>
    </row>
    <row customHeight="1" ht="18">
      <c r="A26" s="1206"/>
      <c r="B26" s="1260">
        <v>9</v>
      </c>
      <c r="C26" s="1204" t="s">
        <v>862</v>
      </c>
      <c r="D26" s="1329"/>
      <c r="E26" s="1204"/>
      <c r="F26" s="1204"/>
      <c r="G26" s="1252"/>
      <c r="H26" s="1320"/>
      <c r="I26" s="1367" t="str">
        <f>INDEX(TEMPLATE_NUMBER_POINT_FHD,B26,MATCH(TEMPLATE_SPHERE,TEMPLATE_SPHERE_LIST_FOR_NOTE,0))</f>
        <v>2.5.1</v>
      </c>
      <c r="J26" s="1367" t="str">
        <f>INDEX(TEMPLATE_DATA_POINT_FHD,B26,MATCH(TEMPLATE_SPHERE,TEMPLATE_SPHERE_LIST_FOR_NOTE,0))</f>
        <v>Средневзвешенная стоимость 1 кВт.ч (с учетом мощности)</v>
      </c>
      <c r="K26" s="1367">
        <f>INDEX(TEMPLATE_NOTE_POINT_FHD,B26,MATCH(TEMPLATE_SPHERE,TEMPLATE_SPHERE_LIST_FOR_NOTE,0))</f>
        <v>0</v>
      </c>
      <c r="L26" s="1205" t="str">
        <f>IF(I26=0,"",I26)</f>
        <v>2.5.1</v>
      </c>
      <c r="M26" s="1205" t="str">
        <f>IF(J26=0,"",J26)</f>
        <v>Средневзвешенная стоимость 1 кВт.ч (с учетом мощности)</v>
      </c>
      <c r="N26" s="1205" t="str">
        <f>IF(K26=0,"",K26)</f>
        <v/>
      </c>
      <c r="O26" s="1319" t="s">
        <v>679</v>
      </c>
      <c r="P26" s="1319" t="s">
        <v>673</v>
      </c>
      <c r="Q26" s="1319" t="s">
        <v>2029</v>
      </c>
      <c r="R26" s="1319" t="s">
        <v>673</v>
      </c>
      <c r="S26" s="1319"/>
      <c r="T26" s="1326" t="s">
        <v>2030</v>
      </c>
      <c r="U26" s="1326" t="s">
        <v>2030</v>
      </c>
      <c r="V26" s="1326" t="s">
        <v>2030</v>
      </c>
      <c r="W26" s="1326" t="s">
        <v>2030</v>
      </c>
      <c r="X26" s="1204"/>
      <c r="Y26" s="1362"/>
      <c r="Z26" s="1207"/>
      <c r="AA26" s="1210"/>
      <c r="AB26" s="1207"/>
      <c r="AC26" s="1207"/>
      <c r="AD26" s="1207"/>
    </row>
    <row customHeight="1" ht="18">
      <c r="A27" s="1206"/>
      <c r="B27" s="1260">
        <v>10</v>
      </c>
      <c r="C27" s="1204" t="s">
        <v>2031</v>
      </c>
      <c r="D27" s="1329"/>
      <c r="E27" s="1204"/>
      <c r="F27" s="1204"/>
      <c r="G27" s="1252"/>
      <c r="H27" s="1320"/>
      <c r="I27" s="1367" t="str">
        <f>INDEX(TEMPLATE_NUMBER_POINT_FHD,B27,MATCH(TEMPLATE_SPHERE,TEMPLATE_SPHERE_LIST_FOR_NOTE,0))</f>
        <v>2.5.2</v>
      </c>
      <c r="J27" s="1367" t="str">
        <f>INDEX(TEMPLATE_DATA_POINT_FHD,B27,MATCH(TEMPLATE_SPHERE,TEMPLATE_SPHERE_LIST_FOR_NOTE,0))</f>
        <v>Объём приобретения электрической энергии</v>
      </c>
      <c r="K27" s="1367">
        <f>INDEX(TEMPLATE_NOTE_POINT_FHD,B27,MATCH(TEMPLATE_SPHERE,TEMPLATE_SPHERE_LIST_FOR_NOTE,0))</f>
        <v>0</v>
      </c>
      <c r="L27" s="1205" t="str">
        <f>IF(I27=0,"",I27)</f>
        <v>2.5.2</v>
      </c>
      <c r="M27" s="1205" t="str">
        <f>IF(J27=0,"",J27)</f>
        <v>Объём приобретения электрической энергии</v>
      </c>
      <c r="N27" s="1205" t="str">
        <f>IF(K27=0,"",K27)</f>
        <v/>
      </c>
      <c r="O27" s="1319" t="s">
        <v>681</v>
      </c>
      <c r="P27" s="1319" t="s">
        <v>675</v>
      </c>
      <c r="Q27" s="1319" t="s">
        <v>2032</v>
      </c>
      <c r="R27" s="1319" t="s">
        <v>675</v>
      </c>
      <c r="S27" s="1319"/>
      <c r="T27" s="1326" t="s">
        <v>2033</v>
      </c>
      <c r="U27" s="1326" t="s">
        <v>2033</v>
      </c>
      <c r="V27" s="1326" t="s">
        <v>2033</v>
      </c>
      <c r="W27" s="1326" t="s">
        <v>2033</v>
      </c>
      <c r="X27" s="1204"/>
      <c r="Y27" s="1362"/>
      <c r="Z27" s="1207"/>
      <c r="AA27" s="1210"/>
      <c r="AB27" s="1207"/>
      <c r="AC27" s="1207"/>
      <c r="AD27" s="1207"/>
    </row>
    <row customHeight="1" ht="27">
      <c r="A28" s="1206"/>
      <c r="B28" s="1260">
        <v>11</v>
      </c>
      <c r="C28" s="1204">
        <v>7</v>
      </c>
      <c r="D28" s="1329"/>
      <c r="E28" s="1204"/>
      <c r="F28" s="1204"/>
      <c r="G28" s="1252"/>
      <c r="H28" s="1320"/>
      <c r="I28" s="1367">
        <f>INDEX(TEMPLATE_NUMBER_POINT_FHD,B28,MATCH(TEMPLATE_SPHERE,TEMPLATE_SPHERE_LIST_FOR_NOTE,0))</f>
        <v>0</v>
      </c>
      <c r="J28" s="1367">
        <f>INDEX(TEMPLATE_DATA_POINT_FHD,B28,MATCH(TEMPLATE_SPHERE,TEMPLATE_SPHERE_LIST_FOR_NOTE,0))</f>
        <v>0</v>
      </c>
      <c r="K28" s="1367">
        <f>INDEX(TEMPLATE_NOTE_POINT_FHD,B28,MATCH(TEMPLATE_SPHERE,TEMPLATE_SPHERE_LIST_FOR_NOTE,0))</f>
        <v>0</v>
      </c>
      <c r="L28" s="1205" t="str">
        <f>IF(I28=0,"",I28)</f>
        <v/>
      </c>
      <c r="M28" s="1205" t="str">
        <f>IF(J28=0,"",J28)</f>
        <v/>
      </c>
      <c r="N28" s="1205" t="str">
        <f>IF(K28=0,"",K28)</f>
        <v/>
      </c>
      <c r="O28" s="1319" t="s">
        <v>683</v>
      </c>
      <c r="P28" s="1319"/>
      <c r="Q28" s="1319"/>
      <c r="R28" s="1319"/>
      <c r="S28" s="1319"/>
      <c r="T28" s="1326" t="s">
        <v>2034</v>
      </c>
      <c r="U28" s="1207"/>
      <c r="V28" s="1207"/>
      <c r="W28" s="1207"/>
      <c r="X28" s="1204"/>
      <c r="Y28" s="1362"/>
      <c r="Z28" s="1207"/>
      <c r="AA28" s="1210"/>
      <c r="AB28" s="1207"/>
      <c r="AC28" s="1207"/>
      <c r="AD28" s="1207"/>
    </row>
    <row customHeight="1" ht="27">
      <c r="A29" s="1206"/>
      <c r="B29" s="1260">
        <v>12</v>
      </c>
      <c r="C29" s="1204">
        <v>8</v>
      </c>
      <c r="D29" s="1329"/>
      <c r="E29" s="1204"/>
      <c r="F29" s="1204"/>
      <c r="G29" s="1252"/>
      <c r="H29" s="1320"/>
      <c r="I29" s="1367">
        <f>INDEX(TEMPLATE_NUMBER_POINT_FHD,B29,MATCH(TEMPLATE_SPHERE,TEMPLATE_SPHERE_LIST_FOR_NOTE,0))</f>
        <v>0</v>
      </c>
      <c r="J29" s="1367">
        <f>INDEX(TEMPLATE_DATA_POINT_FHD,B29,MATCH(TEMPLATE_SPHERE,TEMPLATE_SPHERE_LIST_FOR_NOTE,0))</f>
        <v>0</v>
      </c>
      <c r="K29" s="1367">
        <f>INDEX(TEMPLATE_NOTE_POINT_FHD,B29,MATCH(TEMPLATE_SPHERE,TEMPLATE_SPHERE_LIST_FOR_NOTE,0))</f>
        <v>0</v>
      </c>
      <c r="L29" s="1205" t="str">
        <f>IF(I29=0,"",I29)</f>
        <v/>
      </c>
      <c r="M29" s="1205" t="str">
        <f>IF(J29=0,"",J29)</f>
        <v/>
      </c>
      <c r="N29" s="1205" t="str">
        <f>IF(K29=0,"",K29)</f>
        <v/>
      </c>
      <c r="O29" s="1319" t="s">
        <v>690</v>
      </c>
      <c r="P29" s="1319" t="s">
        <v>351</v>
      </c>
      <c r="Q29" s="1319"/>
      <c r="R29" s="1319" t="s">
        <v>351</v>
      </c>
      <c r="S29" s="1319"/>
      <c r="T29" s="1326" t="s">
        <v>2035</v>
      </c>
      <c r="U29" s="1207" t="s">
        <v>2035</v>
      </c>
      <c r="V29" s="1207"/>
      <c r="W29" s="1207" t="s">
        <v>2035</v>
      </c>
      <c r="X29" s="1204"/>
      <c r="Y29" s="1362"/>
      <c r="Z29" s="1207"/>
      <c r="AA29" s="1210"/>
      <c r="AB29" s="1207"/>
      <c r="AC29" s="1207"/>
      <c r="AD29" s="1207"/>
    </row>
    <row customHeight="1" ht="54">
      <c r="A30" s="1206"/>
      <c r="B30" s="1260">
        <v>13</v>
      </c>
      <c r="C30" s="1204">
        <v>9</v>
      </c>
      <c r="D30" s="1329"/>
      <c r="E30" s="1204"/>
      <c r="F30" s="1204"/>
      <c r="G30" s="1252"/>
      <c r="H30" s="1320"/>
      <c r="I30" s="1367" t="str">
        <f>INDEX(TEMPLATE_NUMBER_POINT_FHD,B30,MATCH(TEMPLATE_SPHERE,TEMPLATE_SPHERE_LIST_FOR_NOTE,0))</f>
        <v>2.6</v>
      </c>
      <c r="J30" s="136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36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1205" t="str">
        <f>IF(I30=0,"",I30)</f>
        <v>2.6</v>
      </c>
      <c r="M30" s="120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205" t="str">
        <f>IF(K30=0,"",K30)</f>
        <v>Указывается общая сумма расходов на оплату труда и отчислений на социальные нужды основного производственного персонала.</v>
      </c>
      <c r="O30" s="1319" t="s">
        <v>692</v>
      </c>
      <c r="P30" s="1319" t="s">
        <v>683</v>
      </c>
      <c r="Q30" s="1319" t="s">
        <v>692</v>
      </c>
      <c r="R30" s="1319" t="s">
        <v>683</v>
      </c>
      <c r="S30" s="1319"/>
      <c r="T30" s="1326" t="s">
        <v>2036</v>
      </c>
      <c r="U30" s="1207" t="s">
        <v>2036</v>
      </c>
      <c r="V30" s="1207" t="s">
        <v>2036</v>
      </c>
      <c r="W30" s="1207" t="s">
        <v>2036</v>
      </c>
      <c r="X30" s="1204"/>
      <c r="Y30" s="1362"/>
      <c r="Z30" s="1207"/>
      <c r="AA30" s="1210" t="s">
        <v>2037</v>
      </c>
      <c r="AB30" s="1210" t="s">
        <v>2037</v>
      </c>
      <c r="AC30" s="1210" t="s">
        <v>2037</v>
      </c>
      <c r="AD30" s="1207"/>
    </row>
    <row customHeight="1" ht="18">
      <c r="A31" s="1206"/>
      <c r="B31" s="1260">
        <v>14</v>
      </c>
      <c r="C31" s="1204" t="s">
        <v>2038</v>
      </c>
      <c r="D31" s="1329"/>
      <c r="E31" s="1204"/>
      <c r="F31" s="1204"/>
      <c r="G31" s="1252"/>
      <c r="H31" s="1320"/>
      <c r="I31" s="1367" t="str">
        <f>INDEX(TEMPLATE_NUMBER_POINT_FHD,B31,MATCH(TEMPLATE_SPHERE,TEMPLATE_SPHERE_LIST_FOR_NOTE,0))</f>
        <v>2.6.1</v>
      </c>
      <c r="J31" s="1367" t="str">
        <f>INDEX(TEMPLATE_DATA_POINT_FHD,B31,MATCH(TEMPLATE_SPHERE,TEMPLATE_SPHERE_LIST_FOR_NOTE,0))</f>
        <v>Расходы на оплату труда основного производственного персонала</v>
      </c>
      <c r="K31" s="1367">
        <f>INDEX(TEMPLATE_NOTE_POINT_FHD,B31,MATCH(TEMPLATE_SPHERE,TEMPLATE_SPHERE_LIST_FOR_NOTE,0))</f>
        <v>0</v>
      </c>
      <c r="L31" s="1205" t="str">
        <f>IF(I31=0,"",I31)</f>
        <v>2.6.1</v>
      </c>
      <c r="M31" s="1205" t="str">
        <f>IF(J31=0,"",J31)</f>
        <v>Расходы на оплату труда основного производственного персонала</v>
      </c>
      <c r="N31" s="1205" t="str">
        <f>IF(K31=0,"",K31)</f>
        <v/>
      </c>
      <c r="O31" s="1319" t="s">
        <v>2039</v>
      </c>
      <c r="P31" s="1319" t="s">
        <v>686</v>
      </c>
      <c r="Q31" s="1319" t="s">
        <v>2039</v>
      </c>
      <c r="R31" s="1319" t="s">
        <v>686</v>
      </c>
      <c r="S31" s="1319"/>
      <c r="T31" s="1327" t="s">
        <v>2040</v>
      </c>
      <c r="U31" s="1207" t="s">
        <v>2040</v>
      </c>
      <c r="V31" s="1207" t="s">
        <v>2040</v>
      </c>
      <c r="W31" s="1207" t="s">
        <v>2040</v>
      </c>
      <c r="X31" s="1204"/>
      <c r="Y31" s="1362"/>
      <c r="Z31" s="1207"/>
      <c r="AA31" s="1210"/>
      <c r="AB31" s="1210"/>
      <c r="AC31" s="1210"/>
      <c r="AD31" s="1207"/>
    </row>
    <row customHeight="1" ht="36">
      <c r="A32" s="1206"/>
      <c r="B32" s="1260">
        <v>15</v>
      </c>
      <c r="C32" s="1204" t="s">
        <v>2041</v>
      </c>
      <c r="D32" s="1329"/>
      <c r="E32" s="1204"/>
      <c r="F32" s="1204"/>
      <c r="G32" s="1252"/>
      <c r="H32" s="1320"/>
      <c r="I32" s="1367" t="str">
        <f>INDEX(TEMPLATE_NUMBER_POINT_FHD,B32,MATCH(TEMPLATE_SPHERE,TEMPLATE_SPHERE_LIST_FOR_NOTE,0))</f>
        <v>2.6.2</v>
      </c>
      <c r="J32" s="136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367">
        <f>INDEX(TEMPLATE_NOTE_POINT_FHD,B32,MATCH(TEMPLATE_SPHERE,TEMPLATE_SPHERE_LIST_FOR_NOTE,0))</f>
        <v>0</v>
      </c>
      <c r="L32" s="1205" t="str">
        <f>IF(I32=0,"",I32)</f>
        <v>2.6.2</v>
      </c>
      <c r="M32" s="1205" t="str">
        <f>IF(J32=0,"",J32)</f>
        <v>Страховые взносы на обязательное социальное страхование, выплачиваемые из фонда оплаты труда основного производственного персонала</v>
      </c>
      <c r="N32" s="1205" t="str">
        <f>IF(K32=0,"",K32)</f>
        <v/>
      </c>
      <c r="O32" s="1319" t="s">
        <v>2042</v>
      </c>
      <c r="P32" s="1319" t="s">
        <v>688</v>
      </c>
      <c r="Q32" s="1319" t="s">
        <v>2042</v>
      </c>
      <c r="R32" s="1319" t="s">
        <v>688</v>
      </c>
      <c r="S32" s="1319"/>
      <c r="T32" s="1328" t="s">
        <v>2043</v>
      </c>
      <c r="U32" s="1207" t="s">
        <v>2043</v>
      </c>
      <c r="V32" s="1207" t="s">
        <v>2043</v>
      </c>
      <c r="W32" s="1207" t="s">
        <v>2043</v>
      </c>
      <c r="X32" s="1204"/>
      <c r="Y32" s="1362"/>
      <c r="Z32" s="1207"/>
      <c r="AA32" s="1210"/>
      <c r="AB32" s="1210"/>
      <c r="AC32" s="1210"/>
      <c r="AD32" s="1207"/>
    </row>
    <row customHeight="1" ht="45">
      <c r="A33" s="1206"/>
      <c r="B33" s="1260">
        <v>16</v>
      </c>
      <c r="C33" s="1204">
        <v>10</v>
      </c>
      <c r="D33" s="1329"/>
      <c r="E33" s="1204"/>
      <c r="F33" s="1204"/>
      <c r="G33" s="1252"/>
      <c r="H33" s="1320"/>
      <c r="I33" s="1367" t="str">
        <f>INDEX(TEMPLATE_NUMBER_POINT_FHD,B33,MATCH(TEMPLATE_SPHERE,TEMPLATE_SPHERE_LIST_FOR_NOTE,0))</f>
        <v>2.7</v>
      </c>
      <c r="J33" s="136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36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1205" t="str">
        <f>IF(I33=0,"",I33)</f>
        <v>2.7</v>
      </c>
      <c r="M33" s="120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205" t="str">
        <f>IF(K33=0,"",K33)</f>
        <v>Указывается общая сумма расходов на оплату труда и отчислений на социальные нужды административно-управленческого персонала.</v>
      </c>
      <c r="O33" s="1319" t="s">
        <v>694</v>
      </c>
      <c r="P33" s="1319" t="s">
        <v>690</v>
      </c>
      <c r="Q33" s="1319" t="s">
        <v>694</v>
      </c>
      <c r="R33" s="1319" t="s">
        <v>690</v>
      </c>
      <c r="S33" s="1319"/>
      <c r="T33" s="1327" t="s">
        <v>2044</v>
      </c>
      <c r="U33" s="1207" t="s">
        <v>2044</v>
      </c>
      <c r="V33" s="1207" t="s">
        <v>2044</v>
      </c>
      <c r="W33" s="1207" t="s">
        <v>2045</v>
      </c>
      <c r="X33" s="1204"/>
      <c r="Y33" s="1362"/>
      <c r="Z33" s="1207"/>
      <c r="AA33" s="1210" t="s">
        <v>2046</v>
      </c>
      <c r="AB33" s="1210" t="s">
        <v>2046</v>
      </c>
      <c r="AC33" s="1210" t="s">
        <v>2046</v>
      </c>
      <c r="AD33" s="1207"/>
    </row>
    <row customHeight="1" ht="27">
      <c r="A34" s="1206"/>
      <c r="B34" s="1260">
        <v>17</v>
      </c>
      <c r="C34" s="1204" t="s">
        <v>2047</v>
      </c>
      <c r="D34" s="1329"/>
      <c r="E34" s="1204"/>
      <c r="F34" s="1204"/>
      <c r="G34" s="1252"/>
      <c r="H34" s="1320"/>
      <c r="I34" s="1367" t="str">
        <f>INDEX(TEMPLATE_NUMBER_POINT_FHD,B34,MATCH(TEMPLATE_SPHERE,TEMPLATE_SPHERE_LIST_FOR_NOTE,0))</f>
        <v>2.7.1</v>
      </c>
      <c r="J34" s="1367" t="str">
        <f>INDEX(TEMPLATE_DATA_POINT_FHD,B34,MATCH(TEMPLATE_SPHERE,TEMPLATE_SPHERE_LIST_FOR_NOTE,0))</f>
        <v>Расходы на оплату труда административно-управленческого персонала</v>
      </c>
      <c r="K34" s="1367">
        <f>INDEX(TEMPLATE_NOTE_POINT_FHD,B34,MATCH(TEMPLATE_SPHERE,TEMPLATE_SPHERE_LIST_FOR_NOTE,0))</f>
        <v>0</v>
      </c>
      <c r="L34" s="1205" t="str">
        <f>IF(I34=0,"",I34)</f>
        <v>2.7.1</v>
      </c>
      <c r="M34" s="1205" t="str">
        <f>IF(J34=0,"",J34)</f>
        <v>Расходы на оплату труда административно-управленческого персонала</v>
      </c>
      <c r="N34" s="1205" t="str">
        <f>IF(K34=0,"",K34)</f>
        <v/>
      </c>
      <c r="O34" s="1319" t="s">
        <v>2048</v>
      </c>
      <c r="P34" s="1319" t="s">
        <v>2029</v>
      </c>
      <c r="Q34" s="1319" t="s">
        <v>2048</v>
      </c>
      <c r="R34" s="1319" t="s">
        <v>2029</v>
      </c>
      <c r="S34" s="1319"/>
      <c r="T34" s="1328" t="s">
        <v>2049</v>
      </c>
      <c r="U34" s="1207" t="s">
        <v>2049</v>
      </c>
      <c r="V34" s="1207" t="s">
        <v>2049</v>
      </c>
      <c r="W34" s="1207" t="s">
        <v>2050</v>
      </c>
      <c r="X34" s="1204"/>
      <c r="Y34" s="1362"/>
      <c r="Z34" s="1207"/>
      <c r="AA34" s="1210"/>
      <c r="AB34" s="1207"/>
      <c r="AC34" s="1207"/>
      <c r="AD34" s="1207"/>
    </row>
    <row customHeight="1" ht="45">
      <c r="A35" s="1206"/>
      <c r="B35" s="1260">
        <v>18</v>
      </c>
      <c r="C35" s="1204" t="s">
        <v>2051</v>
      </c>
      <c r="D35" s="1329"/>
      <c r="E35" s="1204"/>
      <c r="F35" s="1204"/>
      <c r="G35" s="1252"/>
      <c r="H35" s="1320"/>
      <c r="I35" s="1367" t="str">
        <f>INDEX(TEMPLATE_NUMBER_POINT_FHD,B35,MATCH(TEMPLATE_SPHERE,TEMPLATE_SPHERE_LIST_FOR_NOTE,0))</f>
        <v>2.7.2</v>
      </c>
      <c r="J35" s="136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367">
        <f>INDEX(TEMPLATE_NOTE_POINT_FHD,B35,MATCH(TEMPLATE_SPHERE,TEMPLATE_SPHERE_LIST_FOR_NOTE,0))</f>
        <v>0</v>
      </c>
      <c r="L35" s="1205" t="str">
        <f>IF(I35=0,"",I35)</f>
        <v>2.7.2</v>
      </c>
      <c r="M35" s="120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205" t="str">
        <f>IF(K35=0,"",K35)</f>
        <v/>
      </c>
      <c r="O35" s="1319" t="s">
        <v>2052</v>
      </c>
      <c r="P35" s="1319" t="s">
        <v>2032</v>
      </c>
      <c r="Q35" s="1319" t="s">
        <v>2052</v>
      </c>
      <c r="R35" s="1319" t="s">
        <v>2032</v>
      </c>
      <c r="S35" s="1319"/>
      <c r="T35" s="1326" t="s">
        <v>2053</v>
      </c>
      <c r="U35" s="1207" t="s">
        <v>2053</v>
      </c>
      <c r="V35" s="1207" t="s">
        <v>2053</v>
      </c>
      <c r="W35" s="1207" t="s">
        <v>2053</v>
      </c>
      <c r="X35" s="1204"/>
      <c r="Y35" s="1362"/>
      <c r="Z35" s="1207"/>
      <c r="AA35" s="1210"/>
      <c r="AB35" s="1207"/>
      <c r="AC35" s="1207"/>
      <c r="AD35" s="1207"/>
    </row>
    <row customHeight="1" ht="18">
      <c r="A36" s="1206"/>
      <c r="B36" s="1260">
        <v>19</v>
      </c>
      <c r="C36" s="1204">
        <v>11</v>
      </c>
      <c r="D36" s="1329"/>
      <c r="E36" s="1204"/>
      <c r="F36" s="1204"/>
      <c r="G36" s="1252"/>
      <c r="H36" s="1320"/>
      <c r="I36" s="1367" t="str">
        <f>INDEX(TEMPLATE_NUMBER_POINT_FHD,B36,MATCH(TEMPLATE_SPHERE,TEMPLATE_SPHERE_LIST_FOR_NOTE,0))</f>
        <v>2.8</v>
      </c>
      <c r="J36" s="1367" t="str">
        <f>INDEX(TEMPLATE_DATA_POINT_FHD,B36,MATCH(TEMPLATE_SPHERE,TEMPLATE_SPHERE_LIST_FOR_NOTE,0))</f>
        <v>Расходы на амортизацию основных средств и нематериальных активов</v>
      </c>
      <c r="K36" s="1367">
        <f>INDEX(TEMPLATE_NOTE_POINT_FHD,B36,MATCH(TEMPLATE_SPHERE,TEMPLATE_SPHERE_LIST_FOR_NOTE,0))</f>
        <v>0</v>
      </c>
      <c r="L36" s="1205" t="str">
        <f>IF(I36=0,"",I36)</f>
        <v>2.8</v>
      </c>
      <c r="M36" s="1205" t="str">
        <f>IF(J36=0,"",J36)</f>
        <v>Расходы на амортизацию основных средств и нематериальных активов</v>
      </c>
      <c r="N36" s="1205" t="str">
        <f>IF(K36=0,"",K36)</f>
        <v/>
      </c>
      <c r="O36" s="1319" t="s">
        <v>696</v>
      </c>
      <c r="P36" s="1319" t="s">
        <v>692</v>
      </c>
      <c r="Q36" s="1319" t="s">
        <v>696</v>
      </c>
      <c r="R36" s="1319" t="s">
        <v>692</v>
      </c>
      <c r="S36" s="1319"/>
      <c r="T36" s="1326" t="s">
        <v>2054</v>
      </c>
      <c r="U36" s="1207" t="s">
        <v>2054</v>
      </c>
      <c r="V36" s="1207" t="s">
        <v>2054</v>
      </c>
      <c r="W36" s="1207" t="s">
        <v>2054</v>
      </c>
      <c r="X36" s="1204"/>
      <c r="Y36" s="1362"/>
      <c r="Z36" s="1207"/>
      <c r="AA36" s="1210"/>
      <c r="AB36" s="1207"/>
      <c r="AC36" s="1207"/>
      <c r="AD36" s="1207"/>
    </row>
    <row customHeight="1" ht="18">
      <c r="A37" s="1206"/>
      <c r="B37" s="1260">
        <v>20</v>
      </c>
      <c r="C37" s="1204" t="s">
        <v>2055</v>
      </c>
      <c r="D37" s="1329"/>
      <c r="E37" s="1204"/>
      <c r="F37" s="1204"/>
      <c r="G37" s="1252"/>
      <c r="H37" s="1320"/>
      <c r="I37" s="1367" t="str">
        <f>INDEX(TEMPLATE_NUMBER_POINT_FHD,B37,MATCH(TEMPLATE_SPHERE,TEMPLATE_SPHERE_LIST_FOR_NOTE,0))</f>
        <v>2.8.1</v>
      </c>
      <c r="J37" s="1367" t="str">
        <f>INDEX(TEMPLATE_DATA_POINT_FHD,B37,MATCH(TEMPLATE_SPHERE,TEMPLATE_SPHERE_LIST_FOR_NOTE,0))</f>
        <v>Расходы на амортизацию основных средств</v>
      </c>
      <c r="K37" s="1367">
        <f>INDEX(TEMPLATE_NOTE_POINT_FHD,B37,MATCH(TEMPLATE_SPHERE,TEMPLATE_SPHERE_LIST_FOR_NOTE,0))</f>
        <v>0</v>
      </c>
      <c r="L37" s="1205" t="str">
        <f>IF(I37=0,"",I37)</f>
        <v>2.8.1</v>
      </c>
      <c r="M37" s="1205" t="str">
        <f>IF(J37=0,"",J37)</f>
        <v>Расходы на амортизацию основных средств</v>
      </c>
      <c r="N37" s="1205" t="str">
        <f>IF(K37=0,"",K37)</f>
        <v/>
      </c>
      <c r="O37" s="1319" t="s">
        <v>2056</v>
      </c>
      <c r="P37" s="1319" t="s">
        <v>2039</v>
      </c>
      <c r="Q37" s="1319" t="s">
        <v>2056</v>
      </c>
      <c r="R37" s="1319" t="s">
        <v>2039</v>
      </c>
      <c r="S37" s="1319"/>
      <c r="T37" s="1326" t="s">
        <v>2057</v>
      </c>
      <c r="U37" s="1207" t="s">
        <v>2057</v>
      </c>
      <c r="V37" s="1207" t="s">
        <v>2057</v>
      </c>
      <c r="W37" s="1207" t="s">
        <v>2057</v>
      </c>
      <c r="X37" s="1204"/>
      <c r="Y37" s="1362"/>
      <c r="Z37" s="1207"/>
      <c r="AA37" s="1210"/>
      <c r="AB37" s="1207"/>
      <c r="AC37" s="1207"/>
      <c r="AD37" s="1207"/>
    </row>
    <row customHeight="1" ht="18">
      <c r="A38" s="1206"/>
      <c r="B38" s="1260">
        <v>21</v>
      </c>
      <c r="C38" s="1204" t="s">
        <v>2058</v>
      </c>
      <c r="D38" s="1329"/>
      <c r="E38" s="1204"/>
      <c r="F38" s="1204"/>
      <c r="G38" s="1252"/>
      <c r="H38" s="1320"/>
      <c r="I38" s="1367" t="str">
        <f>INDEX(TEMPLATE_NUMBER_POINT_FHD,B38,MATCH(TEMPLATE_SPHERE,TEMPLATE_SPHERE_LIST_FOR_NOTE,0))</f>
        <v>2.8.2</v>
      </c>
      <c r="J38" s="1367" t="str">
        <f>INDEX(TEMPLATE_DATA_POINT_FHD,B38,MATCH(TEMPLATE_SPHERE,TEMPLATE_SPHERE_LIST_FOR_NOTE,0))</f>
        <v>Расходы на амортизацию нематериальных активов</v>
      </c>
      <c r="K38" s="1367">
        <f>INDEX(TEMPLATE_NOTE_POINT_FHD,B38,MATCH(TEMPLATE_SPHERE,TEMPLATE_SPHERE_LIST_FOR_NOTE,0))</f>
        <v>0</v>
      </c>
      <c r="L38" s="1205" t="str">
        <f>IF(I38=0,"",I38)</f>
        <v>2.8.2</v>
      </c>
      <c r="M38" s="1205" t="str">
        <f>IF(J38=0,"",J38)</f>
        <v>Расходы на амортизацию нематериальных активов</v>
      </c>
      <c r="N38" s="1205" t="str">
        <f>IF(K38=0,"",K38)</f>
        <v/>
      </c>
      <c r="O38" s="1319" t="s">
        <v>2059</v>
      </c>
      <c r="P38" s="1319" t="s">
        <v>2042</v>
      </c>
      <c r="Q38" s="1319" t="s">
        <v>2059</v>
      </c>
      <c r="R38" s="1319" t="s">
        <v>2042</v>
      </c>
      <c r="S38" s="1319"/>
      <c r="T38" s="1326" t="s">
        <v>2060</v>
      </c>
      <c r="U38" s="1207" t="s">
        <v>2060</v>
      </c>
      <c r="V38" s="1207" t="s">
        <v>2060</v>
      </c>
      <c r="W38" s="1207" t="s">
        <v>2060</v>
      </c>
      <c r="X38" s="1204"/>
      <c r="Y38" s="1362"/>
      <c r="Z38" s="1207"/>
      <c r="AA38" s="1210"/>
      <c r="AB38" s="1207"/>
      <c r="AC38" s="1207"/>
      <c r="AD38" s="1207"/>
    </row>
    <row customHeight="1" ht="36">
      <c r="A39" s="1206"/>
      <c r="B39" s="1260">
        <v>22</v>
      </c>
      <c r="C39" s="1204">
        <v>12</v>
      </c>
      <c r="D39" s="1329"/>
      <c r="E39" s="1204"/>
      <c r="F39" s="1204"/>
      <c r="G39" s="1252"/>
      <c r="H39" s="1320"/>
      <c r="I39" s="1367" t="str">
        <f>INDEX(TEMPLATE_NUMBER_POINT_FHD,B39,MATCH(TEMPLATE_SPHERE,TEMPLATE_SPHERE_LIST_FOR_NOTE,0))</f>
        <v>2.9</v>
      </c>
      <c r="J39" s="136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367">
        <f>INDEX(TEMPLATE_NOTE_POINT_FHD,B39,MATCH(TEMPLATE_SPHERE,TEMPLATE_SPHERE_LIST_FOR_NOTE,0))</f>
        <v>0</v>
      </c>
      <c r="L39" s="1205" t="str">
        <f>IF(I39=0,"",I39)</f>
        <v>2.9</v>
      </c>
      <c r="M39" s="1205" t="str">
        <f>IF(J39=0,"",J39)</f>
        <v>Расходы на аренду имущества, используемого для осуществления регулируемых видов деятельности в сфере горячего водоснабжения</v>
      </c>
      <c r="N39" s="1205" t="str">
        <f>IF(K39=0,"",K39)</f>
        <v/>
      </c>
      <c r="O39" s="1319" t="s">
        <v>700</v>
      </c>
      <c r="P39" s="1319" t="s">
        <v>694</v>
      </c>
      <c r="Q39" s="1319" t="s">
        <v>700</v>
      </c>
      <c r="R39" s="1319" t="s">
        <v>694</v>
      </c>
      <c r="S39" s="1319"/>
      <c r="T39" s="1326" t="s">
        <v>2061</v>
      </c>
      <c r="U39" s="1207" t="s">
        <v>2062</v>
      </c>
      <c r="V39" s="1207" t="s">
        <v>2063</v>
      </c>
      <c r="W39" s="1207" t="s">
        <v>2064</v>
      </c>
      <c r="X39" s="1204"/>
      <c r="Y39" s="1362"/>
      <c r="Z39" s="1207"/>
      <c r="AA39" s="1210"/>
      <c r="AB39" s="1207"/>
      <c r="AC39" s="1207"/>
      <c r="AD39" s="1207"/>
    </row>
    <row customHeight="1" ht="18">
      <c r="A40" s="1206"/>
      <c r="B40" s="1260">
        <v>23</v>
      </c>
      <c r="C40" s="1204">
        <v>13</v>
      </c>
      <c r="D40" s="1329"/>
      <c r="E40" s="1204"/>
      <c r="F40" s="1204"/>
      <c r="G40" s="1204"/>
      <c r="H40" s="1255"/>
      <c r="I40" s="1367" t="str">
        <f>INDEX(TEMPLATE_NUMBER_POINT_FHD,B40,MATCH(TEMPLATE_SPHERE,TEMPLATE_SPHERE_LIST_FOR_NOTE,0))</f>
        <v>2.10</v>
      </c>
      <c r="J40" s="1367" t="str">
        <f>INDEX(TEMPLATE_DATA_POINT_FHD,B40,MATCH(TEMPLATE_SPHERE,TEMPLATE_SPHERE_LIST_FOR_NOTE,0))</f>
        <v>Общепроизводственные расходы, в том числе:</v>
      </c>
      <c r="K40" s="1367" t="str">
        <f>INDEX(TEMPLATE_NOTE_POINT_FHD,B40,MATCH(TEMPLATE_SPHERE,TEMPLATE_SPHERE_LIST_FOR_NOTE,0))</f>
        <v>Указывается общая сумма общепроизводственных расходов.</v>
      </c>
      <c r="L40" s="1205" t="str">
        <f>IF(I40=0,"",I40)</f>
        <v>2.10</v>
      </c>
      <c r="M40" s="1205" t="str">
        <f>IF(J40=0,"",J40)</f>
        <v>Общепроизводственные расходы, в том числе:</v>
      </c>
      <c r="N40" s="1205" t="str">
        <f>IF(K40=0,"",K40)</f>
        <v>Указывается общая сумма общепроизводственных расходов.</v>
      </c>
      <c r="O40" s="1319" t="s">
        <v>2065</v>
      </c>
      <c r="P40" s="1319" t="s">
        <v>696</v>
      </c>
      <c r="Q40" s="1319" t="s">
        <v>2065</v>
      </c>
      <c r="R40" s="1319" t="s">
        <v>696</v>
      </c>
      <c r="S40" s="1319"/>
      <c r="T40" s="1204" t="s">
        <v>2066</v>
      </c>
      <c r="U40" s="1204" t="s">
        <v>2066</v>
      </c>
      <c r="V40" s="1204" t="s">
        <v>2066</v>
      </c>
      <c r="W40" s="1204" t="s">
        <v>2066</v>
      </c>
      <c r="X40" s="1204"/>
      <c r="Y40" s="1362"/>
      <c r="Z40" s="1207" t="s">
        <v>2067</v>
      </c>
      <c r="AA40" s="1210" t="s">
        <v>2067</v>
      </c>
      <c r="AB40" s="1210" t="s">
        <v>2067</v>
      </c>
      <c r="AC40" s="1210" t="s">
        <v>2067</v>
      </c>
      <c r="AD40" s="1207"/>
    </row>
    <row customHeight="1" ht="27">
      <c r="A41" s="1206"/>
      <c r="B41" s="1260">
        <v>24</v>
      </c>
      <c r="C41" s="1204" t="s">
        <v>2068</v>
      </c>
      <c r="D41" s="1329"/>
      <c r="E41" s="1204"/>
      <c r="F41" s="1204"/>
      <c r="G41" s="1204"/>
      <c r="H41" s="1252"/>
      <c r="I41" s="1367" t="str">
        <f>INDEX(TEMPLATE_NUMBER_POINT_FHD,B41,MATCH(TEMPLATE_SPHERE,TEMPLATE_SPHERE_LIST_FOR_NOTE,0))</f>
        <v>2.10.1</v>
      </c>
      <c r="J41" s="1367" t="str">
        <f>INDEX(TEMPLATE_DATA_POINT_FHD,B41,MATCH(TEMPLATE_SPHERE,TEMPLATE_SPHERE_LIST_FOR_NOTE,0))</f>
        <v>Расходы на текущий ремонт</v>
      </c>
      <c r="K41" s="1367" t="str">
        <f>INDEX(TEMPLATE_NOTE_POINT_FHD,B41,MATCH(TEMPLATE_SPHERE,TEMPLATE_SPHERE_LIST_FOR_NOTE,0))</f>
        <v>Указываются расходы на текущий ремонт, отнесенные к общепроизводственным расходам.</v>
      </c>
      <c r="L41" s="1205" t="str">
        <f>IF(I41=0,"",I41)</f>
        <v>2.10.1</v>
      </c>
      <c r="M41" s="1205" t="str">
        <f>IF(J41=0,"",J41)</f>
        <v>Расходы на текущий ремонт</v>
      </c>
      <c r="N41" s="1205" t="str">
        <f>IF(K41=0,"",K41)</f>
        <v>Указываются расходы на текущий ремонт, отнесенные к общепроизводственным расходам.</v>
      </c>
      <c r="O41" s="1319" t="s">
        <v>2069</v>
      </c>
      <c r="P41" s="1319" t="s">
        <v>2056</v>
      </c>
      <c r="Q41" s="1319" t="s">
        <v>2069</v>
      </c>
      <c r="R41" s="1319" t="s">
        <v>2056</v>
      </c>
      <c r="S41" s="1319"/>
      <c r="T41" s="1204" t="s">
        <v>2070</v>
      </c>
      <c r="U41" s="1204" t="s">
        <v>2070</v>
      </c>
      <c r="V41" s="1204" t="s">
        <v>2070</v>
      </c>
      <c r="W41" s="1204" t="s">
        <v>2070</v>
      </c>
      <c r="X41" s="1204"/>
      <c r="Y41" s="1362"/>
      <c r="Z41" s="1207" t="s">
        <v>2071</v>
      </c>
      <c r="AA41" s="1207" t="s">
        <v>2071</v>
      </c>
      <c r="AB41" s="1207" t="s">
        <v>2071</v>
      </c>
      <c r="AC41" s="1207" t="s">
        <v>2071</v>
      </c>
      <c r="AD41" s="1207"/>
    </row>
    <row customHeight="1" ht="27">
      <c r="A42" s="1206"/>
      <c r="B42" s="1260">
        <v>25</v>
      </c>
      <c r="C42" s="1204" t="s">
        <v>2072</v>
      </c>
      <c r="D42" s="1329"/>
      <c r="E42" s="1204"/>
      <c r="F42" s="1204"/>
      <c r="G42" s="1204"/>
      <c r="H42" s="1252"/>
      <c r="I42" s="1367" t="str">
        <f>INDEX(TEMPLATE_NUMBER_POINT_FHD,B42,MATCH(TEMPLATE_SPHERE,TEMPLATE_SPHERE_LIST_FOR_NOTE,0))</f>
        <v>2.10.2</v>
      </c>
      <c r="J42" s="1367" t="str">
        <f>INDEX(TEMPLATE_DATA_POINT_FHD,B42,MATCH(TEMPLATE_SPHERE,TEMPLATE_SPHERE_LIST_FOR_NOTE,0))</f>
        <v>Расходы на капитальный ремонт</v>
      </c>
      <c r="K42" s="1367" t="str">
        <f>INDEX(TEMPLATE_NOTE_POINT_FHD,B42,MATCH(TEMPLATE_SPHERE,TEMPLATE_SPHERE_LIST_FOR_NOTE,0))</f>
        <v>Указываются расходы на капитальный ремонт, отнесенные к общепроизводственным расходам.</v>
      </c>
      <c r="L42" s="1205" t="str">
        <f>IF(I42=0,"",I42)</f>
        <v>2.10.2</v>
      </c>
      <c r="M42" s="1205" t="str">
        <f>IF(J42=0,"",J42)</f>
        <v>Расходы на капитальный ремонт</v>
      </c>
      <c r="N42" s="1205" t="str">
        <f>IF(K42=0,"",K42)</f>
        <v>Указываются расходы на капитальный ремонт, отнесенные к общепроизводственным расходам.</v>
      </c>
      <c r="O42" s="1319" t="s">
        <v>2073</v>
      </c>
      <c r="P42" s="1319" t="s">
        <v>2059</v>
      </c>
      <c r="Q42" s="1319" t="s">
        <v>2073</v>
      </c>
      <c r="R42" s="1319" t="s">
        <v>2059</v>
      </c>
      <c r="S42" s="1319"/>
      <c r="T42" s="1204" t="s">
        <v>2074</v>
      </c>
      <c r="U42" s="1204" t="s">
        <v>2074</v>
      </c>
      <c r="V42" s="1204" t="s">
        <v>2074</v>
      </c>
      <c r="W42" s="1204" t="s">
        <v>2074</v>
      </c>
      <c r="X42" s="1204"/>
      <c r="Y42" s="1362"/>
      <c r="Z42" s="1207" t="s">
        <v>2075</v>
      </c>
      <c r="AA42" s="1207" t="s">
        <v>2075</v>
      </c>
      <c r="AB42" s="1207" t="s">
        <v>2075</v>
      </c>
      <c r="AC42" s="1207" t="s">
        <v>2075</v>
      </c>
      <c r="AD42" s="1207"/>
    </row>
    <row customHeight="1" ht="18">
      <c r="A43" s="1206"/>
      <c r="B43" s="1260">
        <v>26</v>
      </c>
      <c r="C43" s="1204">
        <v>14</v>
      </c>
      <c r="D43" s="1329"/>
      <c r="E43" s="1204"/>
      <c r="F43" s="1204"/>
      <c r="G43" s="1204"/>
      <c r="H43" s="1252"/>
      <c r="I43" s="1367" t="str">
        <f>INDEX(TEMPLATE_NUMBER_POINT_FHD,B43,MATCH(TEMPLATE_SPHERE,TEMPLATE_SPHERE_LIST_FOR_NOTE,0))</f>
        <v>2.11</v>
      </c>
      <c r="J43" s="1367" t="str">
        <f>INDEX(TEMPLATE_DATA_POINT_FHD,B43,MATCH(TEMPLATE_SPHERE,TEMPLATE_SPHERE_LIST_FOR_NOTE,0))</f>
        <v>Общехозяйственные расходы, в том числе:</v>
      </c>
      <c r="K43" s="1367" t="str">
        <f>INDEX(TEMPLATE_NOTE_POINT_FHD,B43,MATCH(TEMPLATE_SPHERE,TEMPLATE_SPHERE_LIST_FOR_NOTE,0))</f>
        <v>Указывается общая сумма общехозяйственных расходов.</v>
      </c>
      <c r="L43" s="1205" t="str">
        <f>IF(I43=0,"",I43)</f>
        <v>2.11</v>
      </c>
      <c r="M43" s="1205" t="str">
        <f>IF(J43=0,"",J43)</f>
        <v>Общехозяйственные расходы, в том числе:</v>
      </c>
      <c r="N43" s="1205" t="str">
        <f>IF(K43=0,"",K43)</f>
        <v>Указывается общая сумма общехозяйственных расходов.</v>
      </c>
      <c r="O43" s="1319" t="s">
        <v>2076</v>
      </c>
      <c r="P43" s="1319" t="s">
        <v>700</v>
      </c>
      <c r="Q43" s="1319" t="s">
        <v>2076</v>
      </c>
      <c r="R43" s="1319" t="s">
        <v>700</v>
      </c>
      <c r="S43" s="1319"/>
      <c r="T43" s="1204" t="s">
        <v>2077</v>
      </c>
      <c r="U43" s="1204" t="s">
        <v>2077</v>
      </c>
      <c r="V43" s="1204" t="s">
        <v>2077</v>
      </c>
      <c r="W43" s="1204" t="s">
        <v>2077</v>
      </c>
      <c r="X43" s="1204"/>
      <c r="Y43" s="1362"/>
      <c r="Z43" s="1207" t="s">
        <v>2078</v>
      </c>
      <c r="AA43" s="1207" t="s">
        <v>2078</v>
      </c>
      <c r="AB43" s="1207" t="s">
        <v>2078</v>
      </c>
      <c r="AC43" s="1207" t="s">
        <v>2078</v>
      </c>
      <c r="AD43" s="1207"/>
    </row>
    <row customHeight="1" ht="27">
      <c r="A44" s="1206"/>
      <c r="B44" s="1260">
        <v>27</v>
      </c>
      <c r="C44" s="1204" t="s">
        <v>2079</v>
      </c>
      <c r="D44" s="1329"/>
      <c r="E44" s="1204"/>
      <c r="F44" s="1204"/>
      <c r="G44" s="1204"/>
      <c r="H44" s="1252"/>
      <c r="I44" s="1367" t="str">
        <f>INDEX(TEMPLATE_NUMBER_POINT_FHD,B44,MATCH(TEMPLATE_SPHERE,TEMPLATE_SPHERE_LIST_FOR_NOTE,0))</f>
        <v>2.11.1</v>
      </c>
      <c r="J44" s="1367" t="str">
        <f>INDEX(TEMPLATE_DATA_POINT_FHD,B44,MATCH(TEMPLATE_SPHERE,TEMPLATE_SPHERE_LIST_FOR_NOTE,0))</f>
        <v>Расходы на текущий ремонт</v>
      </c>
      <c r="K44" s="1367" t="str">
        <f>INDEX(TEMPLATE_NOTE_POINT_FHD,B44,MATCH(TEMPLATE_SPHERE,TEMPLATE_SPHERE_LIST_FOR_NOTE,0))</f>
        <v>Указываются расходы на текущий ремонт, отнесенные к общехозяйственным расходам.</v>
      </c>
      <c r="L44" s="1205" t="str">
        <f>IF(I44=0,"",I44)</f>
        <v>2.11.1</v>
      </c>
      <c r="M44" s="1205" t="str">
        <f>IF(J44=0,"",J44)</f>
        <v>Расходы на текущий ремонт</v>
      </c>
      <c r="N44" s="1205" t="str">
        <f>IF(K44=0,"",K44)</f>
        <v>Указываются расходы на текущий ремонт, отнесенные к общехозяйственным расходам.</v>
      </c>
      <c r="O44" s="1319" t="s">
        <v>2080</v>
      </c>
      <c r="P44" s="1319" t="s">
        <v>2081</v>
      </c>
      <c r="Q44" s="1319" t="s">
        <v>2080</v>
      </c>
      <c r="R44" s="1319" t="s">
        <v>2081</v>
      </c>
      <c r="S44" s="1319"/>
      <c r="T44" s="1204" t="s">
        <v>2070</v>
      </c>
      <c r="U44" s="1204" t="s">
        <v>2070</v>
      </c>
      <c r="V44" s="1204" t="s">
        <v>2070</v>
      </c>
      <c r="W44" s="1204" t="s">
        <v>2070</v>
      </c>
      <c r="X44" s="1204"/>
      <c r="Y44" s="1362"/>
      <c r="Z44" s="1207" t="s">
        <v>2082</v>
      </c>
      <c r="AA44" s="1207" t="s">
        <v>2082</v>
      </c>
      <c r="AB44" s="1207" t="s">
        <v>2082</v>
      </c>
      <c r="AC44" s="1207" t="s">
        <v>2082</v>
      </c>
      <c r="AD44" s="1207"/>
    </row>
    <row customHeight="1" ht="27">
      <c r="A45" s="1206"/>
      <c r="B45" s="1260">
        <v>28</v>
      </c>
      <c r="C45" s="1204" t="s">
        <v>2083</v>
      </c>
      <c r="D45" s="1329"/>
      <c r="E45" s="1204"/>
      <c r="F45" s="1204"/>
      <c r="G45" s="1204"/>
      <c r="H45" s="1252"/>
      <c r="I45" s="1367" t="str">
        <f>INDEX(TEMPLATE_NUMBER_POINT_FHD,B45,MATCH(TEMPLATE_SPHERE,TEMPLATE_SPHERE_LIST_FOR_NOTE,0))</f>
        <v>2.11.2</v>
      </c>
      <c r="J45" s="1367" t="str">
        <f>INDEX(TEMPLATE_DATA_POINT_FHD,B45,MATCH(TEMPLATE_SPHERE,TEMPLATE_SPHERE_LIST_FOR_NOTE,0))</f>
        <v>Расходы на капитальный ремонт</v>
      </c>
      <c r="K45" s="1367" t="str">
        <f>INDEX(TEMPLATE_NOTE_POINT_FHD,B45,MATCH(TEMPLATE_SPHERE,TEMPLATE_SPHERE_LIST_FOR_NOTE,0))</f>
        <v>Указываются расходы на капитальный ремонт, отнесенные к общехозяйственным расходам.</v>
      </c>
      <c r="L45" s="1205" t="str">
        <f>IF(I45=0,"",I45)</f>
        <v>2.11.2</v>
      </c>
      <c r="M45" s="1205" t="str">
        <f>IF(J45=0,"",J45)</f>
        <v>Расходы на капитальный ремонт</v>
      </c>
      <c r="N45" s="1205" t="str">
        <f>IF(K45=0,"",K45)</f>
        <v>Указываются расходы на капитальный ремонт, отнесенные к общехозяйственным расходам.</v>
      </c>
      <c r="O45" s="1319" t="s">
        <v>2084</v>
      </c>
      <c r="P45" s="1319" t="s">
        <v>2085</v>
      </c>
      <c r="Q45" s="1319" t="s">
        <v>2084</v>
      </c>
      <c r="R45" s="1319" t="s">
        <v>2085</v>
      </c>
      <c r="S45" s="1319"/>
      <c r="T45" s="1204" t="s">
        <v>2074</v>
      </c>
      <c r="U45" s="1204" t="s">
        <v>2074</v>
      </c>
      <c r="V45" s="1204" t="s">
        <v>2074</v>
      </c>
      <c r="W45" s="1204" t="s">
        <v>2074</v>
      </c>
      <c r="X45" s="1204"/>
      <c r="Y45" s="1362"/>
      <c r="Z45" s="1207" t="s">
        <v>2086</v>
      </c>
      <c r="AA45" s="1207" t="s">
        <v>2086</v>
      </c>
      <c r="AB45" s="1207" t="s">
        <v>2086</v>
      </c>
      <c r="AC45" s="1207" t="s">
        <v>2086</v>
      </c>
      <c r="AD45" s="1207"/>
    </row>
    <row customHeight="1" ht="54">
      <c r="A46" s="1206"/>
      <c r="B46" s="1260">
        <v>29</v>
      </c>
      <c r="C46" s="1204">
        <v>15</v>
      </c>
      <c r="D46" s="1329"/>
      <c r="E46" s="1204"/>
      <c r="F46" s="1204"/>
      <c r="G46" s="1204"/>
      <c r="H46" s="1252"/>
      <c r="I46" s="1367" t="str">
        <f>INDEX(TEMPLATE_NUMBER_POINT_FHD,B46,MATCH(TEMPLATE_SPHERE,TEMPLATE_SPHERE_LIST_FOR_NOTE,0))</f>
        <v>2.12</v>
      </c>
      <c r="J46" s="1367" t="str">
        <f>INDEX(TEMPLATE_DATA_POINT_FHD,B46,MATCH(TEMPLATE_SPHERE,TEMPLATE_SPHERE_LIST_FOR_NOTE,0))</f>
        <v>Расходы на капитальный и текущий ремонт основных средств</v>
      </c>
      <c r="K46" s="136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205" t="str">
        <f>IF(I46=0,"",I46)</f>
        <v>2.12</v>
      </c>
      <c r="M46" s="1205" t="str">
        <f>IF(J46=0,"",J46)</f>
        <v>Расходы на капитальный и текущий ремонт основных средств</v>
      </c>
      <c r="N46" s="120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319" t="s">
        <v>2087</v>
      </c>
      <c r="P46" s="1319" t="s">
        <v>2065</v>
      </c>
      <c r="Q46" s="1319" t="s">
        <v>2087</v>
      </c>
      <c r="R46" s="1319" t="s">
        <v>2065</v>
      </c>
      <c r="S46" s="1319"/>
      <c r="T46" s="1204" t="s">
        <v>2088</v>
      </c>
      <c r="U46" s="1204" t="s">
        <v>2088</v>
      </c>
      <c r="V46" s="1204" t="s">
        <v>2088</v>
      </c>
      <c r="W46" s="1204" t="s">
        <v>2088</v>
      </c>
      <c r="X46" s="1204"/>
      <c r="Y46" s="1362"/>
      <c r="Z46" s="1207" t="s">
        <v>2089</v>
      </c>
      <c r="AA46" s="1207" t="s">
        <v>2090</v>
      </c>
      <c r="AB46" s="1207" t="s">
        <v>2090</v>
      </c>
      <c r="AC46" s="1207" t="s">
        <v>2090</v>
      </c>
      <c r="AD46" s="1207"/>
    </row>
    <row customHeight="1" ht="54">
      <c r="A47" s="1206"/>
      <c r="B47" s="1260">
        <v>30</v>
      </c>
      <c r="C47" s="1204" t="s">
        <v>2091</v>
      </c>
      <c r="D47" s="1329"/>
      <c r="E47" s="1204"/>
      <c r="F47" s="1204"/>
      <c r="G47" s="1204"/>
      <c r="H47" s="1252"/>
      <c r="I47" s="1367" t="str">
        <f>INDEX(TEMPLATE_NUMBER_POINT_FHD,B47,MATCH(TEMPLATE_SPHERE,TEMPLATE_SPHERE_LIST_FOR_NOTE,0))</f>
        <v>2.12.1</v>
      </c>
      <c r="J47" s="136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367">
        <f>INDEX(TEMPLATE_NOTE_POINT_FHD,B47,MATCH(TEMPLATE_SPHERE,TEMPLATE_SPHERE_LIST_FOR_NOTE,0))</f>
        <v>0</v>
      </c>
      <c r="L47" s="1205" t="str">
        <f>IF(I47=0,"",I47)</f>
        <v>2.12.1</v>
      </c>
      <c r="M47" s="120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205" t="str">
        <f>IF(K47=0,"",K47)</f>
        <v/>
      </c>
      <c r="O47" s="1319" t="s">
        <v>2092</v>
      </c>
      <c r="P47" s="1319" t="s">
        <v>2069</v>
      </c>
      <c r="Q47" s="1319" t="s">
        <v>2092</v>
      </c>
      <c r="R47" s="1319" t="s">
        <v>2069</v>
      </c>
      <c r="S47" s="1319"/>
      <c r="T47" s="1204" t="s">
        <v>2093</v>
      </c>
      <c r="U47" s="1204" t="s">
        <v>2093</v>
      </c>
      <c r="V47" s="1204" t="s">
        <v>2093</v>
      </c>
      <c r="W47" s="1204" t="s">
        <v>2093</v>
      </c>
      <c r="X47" s="1204"/>
      <c r="Y47" s="1362"/>
      <c r="Z47" s="1207"/>
      <c r="AA47" s="1210"/>
      <c r="AB47" s="1210"/>
      <c r="AC47" s="1210"/>
      <c r="AD47" s="1207"/>
    </row>
    <row customHeight="1" ht="54">
      <c r="A48" s="1206"/>
      <c r="B48" s="1260">
        <v>31</v>
      </c>
      <c r="C48" s="1204">
        <v>16</v>
      </c>
      <c r="D48" s="1329"/>
      <c r="E48" s="1204"/>
      <c r="F48" s="1204"/>
      <c r="G48" s="1204"/>
      <c r="H48" s="1252"/>
      <c r="I48" s="1367" t="str">
        <f>INDEX(TEMPLATE_NUMBER_POINT_FHD,B48,MATCH(TEMPLATE_SPHERE,TEMPLATE_SPHERE_LIST_FOR_NOTE,0))</f>
        <v>2.13</v>
      </c>
      <c r="J48" s="136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36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205" t="str">
        <f>IF(I48=0,"",I48)</f>
        <v>2.13</v>
      </c>
      <c r="M48" s="120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120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319"/>
      <c r="P48" s="1319" t="s">
        <v>2076</v>
      </c>
      <c r="Q48" s="1319" t="s">
        <v>2094</v>
      </c>
      <c r="R48" s="1319" t="s">
        <v>2076</v>
      </c>
      <c r="S48" s="1319"/>
      <c r="T48" s="1204"/>
      <c r="U48" s="1204" t="s">
        <v>2095</v>
      </c>
      <c r="V48" s="1204" t="s">
        <v>2096</v>
      </c>
      <c r="W48" s="1204" t="s">
        <v>2096</v>
      </c>
      <c r="X48" s="1204"/>
      <c r="Y48" s="1362"/>
      <c r="Z48" s="1207"/>
      <c r="AA48" s="1210" t="s">
        <v>2090</v>
      </c>
      <c r="AB48" s="1210" t="s">
        <v>2090</v>
      </c>
      <c r="AC48" s="1210" t="s">
        <v>2090</v>
      </c>
      <c r="AD48" s="1207"/>
    </row>
    <row customHeight="1" ht="54">
      <c r="A49" s="1206"/>
      <c r="B49" s="1260">
        <v>32</v>
      </c>
      <c r="C49" s="1204" t="s">
        <v>2097</v>
      </c>
      <c r="D49" s="1329"/>
      <c r="E49" s="1204"/>
      <c r="F49" s="1204"/>
      <c r="G49" s="1204"/>
      <c r="H49" s="1252"/>
      <c r="I49" s="1367" t="str">
        <f>INDEX(TEMPLATE_NUMBER_POINT_FHD,B49,MATCH(TEMPLATE_SPHERE,TEMPLATE_SPHERE_LIST_FOR_NOTE,0))</f>
        <v>2.13.1</v>
      </c>
      <c r="J49" s="136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367">
        <f>INDEX(TEMPLATE_NOTE_POINT_FHD,B49,MATCH(TEMPLATE_SPHERE,TEMPLATE_SPHERE_LIST_FOR_NOTE,0))</f>
        <v>0</v>
      </c>
      <c r="L49" s="1205" t="str">
        <f>IF(I49=0,"",I49)</f>
        <v>2.13.1</v>
      </c>
      <c r="M49" s="120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205" t="str">
        <f>IF(K49=0,"",K49)</f>
        <v/>
      </c>
      <c r="O49" s="1319"/>
      <c r="P49" s="1319" t="s">
        <v>2080</v>
      </c>
      <c r="Q49" s="1319" t="s">
        <v>2098</v>
      </c>
      <c r="R49" s="1319" t="s">
        <v>2080</v>
      </c>
      <c r="S49" s="1319"/>
      <c r="T49" s="1204"/>
      <c r="U49" s="1204" t="s">
        <v>2093</v>
      </c>
      <c r="V49" s="1204" t="s">
        <v>2093</v>
      </c>
      <c r="W49" s="1204" t="s">
        <v>2093</v>
      </c>
      <c r="X49" s="1204"/>
      <c r="Y49" s="1362"/>
      <c r="Z49" s="1207"/>
      <c r="AA49" s="1210"/>
      <c r="AB49" s="1210"/>
      <c r="AC49" s="1210"/>
      <c r="AD49" s="1207"/>
    </row>
    <row customHeight="1" ht="126">
      <c r="A50" s="1206"/>
      <c r="B50" s="1260">
        <v>33</v>
      </c>
      <c r="C50" s="1204">
        <v>17</v>
      </c>
      <c r="D50" s="1329"/>
      <c r="E50" s="1204"/>
      <c r="F50" s="1204"/>
      <c r="G50" s="1204"/>
      <c r="H50" s="1252"/>
      <c r="I50" s="1367" t="str">
        <f>INDEX(TEMPLATE_NUMBER_POINT_FHD,B50,MATCH(TEMPLATE_SPHERE,TEMPLATE_SPHERE_LIST_FOR_NOTE,0))</f>
        <v>2.14</v>
      </c>
      <c r="J50" s="1367"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36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205" t="str">
        <f>IF(I50=0,"",I50)</f>
        <v>2.14</v>
      </c>
      <c r="M50" s="120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120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319" t="s">
        <v>2094</v>
      </c>
      <c r="P50" s="1319" t="s">
        <v>2087</v>
      </c>
      <c r="Q50" s="1319" t="s">
        <v>2099</v>
      </c>
      <c r="R50" s="1319" t="s">
        <v>2087</v>
      </c>
      <c r="S50" s="1319"/>
      <c r="T50" s="1204" t="s">
        <v>2100</v>
      </c>
      <c r="U50" s="1204" t="s">
        <v>2101</v>
      </c>
      <c r="V50" s="1204" t="s">
        <v>2102</v>
      </c>
      <c r="W50" s="1204" t="s">
        <v>2103</v>
      </c>
      <c r="X50" s="1204"/>
      <c r="Y50" s="1362"/>
      <c r="Z50" s="1207" t="s">
        <v>2104</v>
      </c>
      <c r="AA50" s="1210" t="s">
        <v>2105</v>
      </c>
      <c r="AB50" s="1210" t="s">
        <v>2105</v>
      </c>
      <c r="AC50" s="1210" t="s">
        <v>2105</v>
      </c>
      <c r="AD50" s="1207"/>
    </row>
    <row customHeight="1" ht="27">
      <c r="A51" s="1206"/>
      <c r="B51" s="1260">
        <v>34</v>
      </c>
      <c r="C51" s="1204" t="s">
        <v>2106</v>
      </c>
      <c r="D51" s="1329"/>
      <c r="E51" s="1204"/>
      <c r="F51" s="1204"/>
      <c r="G51" s="1204"/>
      <c r="H51" s="1252"/>
      <c r="I51" s="1367">
        <f>INDEX(TEMPLATE_NUMBER_POINT_FHD,B51,MATCH(TEMPLATE_SPHERE,TEMPLATE_SPHERE_LIST_FOR_NOTE,0))</f>
        <v>0</v>
      </c>
      <c r="J51" s="1367">
        <f>INDEX(TEMPLATE_DATA_POINT_FHD,B51,MATCH(TEMPLATE_SPHERE,TEMPLATE_SPHERE_LIST_FOR_NOTE,0))</f>
        <v>0</v>
      </c>
      <c r="K51" s="1367">
        <f>INDEX(TEMPLATE_NOTE_POINT_FHD,B51,MATCH(TEMPLATE_SPHERE,TEMPLATE_SPHERE_LIST_FOR_NOTE,0))</f>
        <v>0</v>
      </c>
      <c r="L51" s="1205" t="str">
        <f>IF(I51=0,"",I51)</f>
        <v/>
      </c>
      <c r="M51" s="1205" t="str">
        <f>IF(J51=0,"",J51)</f>
        <v/>
      </c>
      <c r="N51" s="1205" t="str">
        <f>IF(K51=0,"",K51)</f>
        <v/>
      </c>
      <c r="O51" s="1319" t="s">
        <v>89</v>
      </c>
      <c r="P51" s="1319"/>
      <c r="Q51" s="1319"/>
      <c r="R51" s="1319"/>
      <c r="S51" s="1319"/>
      <c r="T51" s="1204" t="s">
        <v>2107</v>
      </c>
      <c r="U51" s="1204"/>
      <c r="V51" s="1204"/>
      <c r="W51" s="1204"/>
      <c r="X51" s="1204"/>
      <c r="Y51" s="1362"/>
      <c r="Z51" s="1207"/>
      <c r="AA51" s="1210"/>
      <c r="AB51" s="1210"/>
      <c r="AC51" s="1210"/>
      <c r="AD51" s="1207"/>
    </row>
    <row customHeight="1" ht="36">
      <c r="A52" s="1206"/>
      <c r="B52" s="1260">
        <v>35</v>
      </c>
      <c r="C52" s="1204" t="s">
        <v>1999</v>
      </c>
      <c r="D52" s="1329" t="s">
        <v>1999</v>
      </c>
      <c r="E52" s="1204" t="s">
        <v>1999</v>
      </c>
      <c r="F52" s="1204" t="s">
        <v>1999</v>
      </c>
      <c r="G52" s="1204"/>
      <c r="H52" s="1252"/>
      <c r="I52" s="1367" t="str">
        <f>INDEX(TEMPLATE_NUMBER_POINT_FHD,B52,MATCH(TEMPLATE_SPHERE,TEMPLATE_SPHERE_LIST_FOR_NOTE,0))</f>
        <v>3</v>
      </c>
      <c r="J52" s="1367"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367" t="str">
        <f>INDEX(TEMPLATE_NOTE_POINT_FHD,B52,MATCH(TEMPLATE_SPHERE,TEMPLATE_SPHERE_LIST_FOR_NOTE,0))</f>
        <v>Указывается общая сумма чистой прибыли, полученной от регулируемого вида деятельности.</v>
      </c>
      <c r="L52" s="1205" t="str">
        <f>IF(I52=0,"",I52)</f>
        <v>3</v>
      </c>
      <c r="M52" s="1205" t="str">
        <f>IF(J52=0,"",J52)</f>
        <v>Чистая прибыль, полученная от регулируемого вида деятельности в сфере горячего водоснабжения, в том числе:</v>
      </c>
      <c r="N52" s="1205" t="str">
        <f>IF(K52=0,"",K52)</f>
        <v>Указывается общая сумма чистой прибыли, полученной от регулируемого вида деятельности.</v>
      </c>
      <c r="O52" s="1319" t="s">
        <v>90</v>
      </c>
      <c r="P52" s="1319" t="s">
        <v>89</v>
      </c>
      <c r="Q52" s="1319" t="s">
        <v>89</v>
      </c>
      <c r="R52" s="1319" t="s">
        <v>89</v>
      </c>
      <c r="S52" s="1319"/>
      <c r="T52" s="1204" t="s">
        <v>2108</v>
      </c>
      <c r="U52" s="1204" t="s">
        <v>2109</v>
      </c>
      <c r="V52" s="1204" t="s">
        <v>2110</v>
      </c>
      <c r="W52" s="1204" t="s">
        <v>2111</v>
      </c>
      <c r="X52" s="1204"/>
      <c r="Y52" s="1362"/>
      <c r="Z52" s="1207" t="s">
        <v>704</v>
      </c>
      <c r="AA52" s="1210" t="s">
        <v>704</v>
      </c>
      <c r="AB52" s="1210" t="s">
        <v>704</v>
      </c>
      <c r="AC52" s="1210" t="s">
        <v>704</v>
      </c>
      <c r="AD52" s="1207"/>
    </row>
    <row customHeight="1" ht="36">
      <c r="A53" s="1206"/>
      <c r="B53" s="1260">
        <v>36</v>
      </c>
      <c r="C53" s="1204">
        <v>1</v>
      </c>
      <c r="D53" s="1329"/>
      <c r="E53" s="1204"/>
      <c r="F53" s="1204"/>
      <c r="G53" s="1204"/>
      <c r="H53" s="1252"/>
      <c r="I53" s="1367" t="str">
        <f>INDEX(TEMPLATE_NUMBER_POINT_FHD,B53,MATCH(TEMPLATE_SPHERE,TEMPLATE_SPHERE_LIST_FOR_NOTE,0))</f>
        <v>3.1</v>
      </c>
      <c r="J53" s="136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367">
        <f>INDEX(TEMPLATE_NOTE_POINT_FHD,B53,MATCH(TEMPLATE_SPHERE,TEMPLATE_SPHERE_LIST_FOR_NOTE,0))</f>
        <v>0</v>
      </c>
      <c r="L53" s="1205" t="str">
        <f>IF(I53=0,"",I53)</f>
        <v>3.1</v>
      </c>
      <c r="M53" s="120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205" t="str">
        <f>IF(K53=0,"",K53)</f>
        <v/>
      </c>
      <c r="O53" s="1319" t="s">
        <v>708</v>
      </c>
      <c r="P53" s="1319" t="s">
        <v>365</v>
      </c>
      <c r="Q53" s="1319" t="s">
        <v>365</v>
      </c>
      <c r="R53" s="1319" t="s">
        <v>365</v>
      </c>
      <c r="S53" s="1319"/>
      <c r="T53" s="1204" t="s">
        <v>2112</v>
      </c>
      <c r="U53" s="1204" t="s">
        <v>2112</v>
      </c>
      <c r="V53" s="1204" t="s">
        <v>2112</v>
      </c>
      <c r="W53" s="1204" t="s">
        <v>2112</v>
      </c>
      <c r="X53" s="1204"/>
      <c r="Y53" s="1362"/>
      <c r="Z53" s="1207"/>
      <c r="AA53" s="1210"/>
      <c r="AB53" s="1207"/>
      <c r="AC53" s="1207"/>
      <c r="AD53" s="1207"/>
    </row>
    <row customHeight="1" ht="18">
      <c r="A54" s="1206"/>
      <c r="B54" s="1260">
        <v>37</v>
      </c>
      <c r="C54" s="1204" t="s">
        <v>2005</v>
      </c>
      <c r="D54" s="1329" t="s">
        <v>2005</v>
      </c>
      <c r="E54" s="1204" t="s">
        <v>2005</v>
      </c>
      <c r="F54" s="1204" t="s">
        <v>2005</v>
      </c>
      <c r="G54" s="1204"/>
      <c r="H54" s="1252"/>
      <c r="I54" s="1367" t="str">
        <f>INDEX(TEMPLATE_NUMBER_POINT_FHD,B54,MATCH(TEMPLATE_SPHERE,TEMPLATE_SPHERE_LIST_FOR_NOTE,0))</f>
        <v>4</v>
      </c>
      <c r="J54" s="1367" t="str">
        <f>INDEX(TEMPLATE_DATA_POINT_FHD,B54,MATCH(TEMPLATE_SPHERE,TEMPLATE_SPHERE_LIST_FOR_NOTE,0))</f>
        <v>Изменение стоимости основных фондов, в том числе:</v>
      </c>
      <c r="K54" s="1367" t="str">
        <f>INDEX(TEMPLATE_NOTE_POINT_FHD,B54,MATCH(TEMPLATE_SPHERE,TEMPLATE_SPHERE_LIST_FOR_NOTE,0))</f>
        <v>Указывается общее изменение стоимости основных фондов.</v>
      </c>
      <c r="L54" s="1205" t="str">
        <f>IF(I54=0,"",I54)</f>
        <v>4</v>
      </c>
      <c r="M54" s="1205" t="str">
        <f>IF(J54=0,"",J54)</f>
        <v>Изменение стоимости основных фондов, в том числе:</v>
      </c>
      <c r="N54" s="1205" t="str">
        <f>IF(K54=0,"",K54)</f>
        <v>Указывается общее изменение стоимости основных фондов.</v>
      </c>
      <c r="O54" s="1319" t="s">
        <v>119</v>
      </c>
      <c r="P54" s="1319" t="s">
        <v>90</v>
      </c>
      <c r="Q54" s="1319" t="s">
        <v>90</v>
      </c>
      <c r="R54" s="1319" t="s">
        <v>90</v>
      </c>
      <c r="S54" s="1319"/>
      <c r="T54" s="1204" t="s">
        <v>706</v>
      </c>
      <c r="U54" s="1204" t="s">
        <v>706</v>
      </c>
      <c r="V54" s="1204" t="s">
        <v>706</v>
      </c>
      <c r="W54" s="1204" t="s">
        <v>706</v>
      </c>
      <c r="X54" s="1204"/>
      <c r="Y54" s="1362"/>
      <c r="Z54" s="1207" t="s">
        <v>707</v>
      </c>
      <c r="AA54" s="1207" t="s">
        <v>707</v>
      </c>
      <c r="AB54" s="1207" t="s">
        <v>707</v>
      </c>
      <c r="AC54" s="1207" t="s">
        <v>707</v>
      </c>
      <c r="AD54" s="1207"/>
    </row>
    <row customHeight="1" ht="36">
      <c r="A55" s="1206"/>
      <c r="B55" s="1260">
        <v>38</v>
      </c>
      <c r="C55" s="1204">
        <v>1</v>
      </c>
      <c r="D55" s="1329"/>
      <c r="E55" s="1204"/>
      <c r="F55" s="1204"/>
      <c r="G55" s="1204"/>
      <c r="H55" s="1252"/>
      <c r="I55" s="1367" t="str">
        <f>INDEX(TEMPLATE_NUMBER_POINT_FHD,B55,MATCH(TEMPLATE_SPHERE,TEMPLATE_SPHERE_LIST_FOR_NOTE,0))</f>
        <v>4.1</v>
      </c>
      <c r="J55" s="1367" t="str">
        <f>INDEX(TEMPLATE_DATA_POINT_FHD,B55,MATCH(TEMPLATE_SPHERE,TEMPLATE_SPHERE_LIST_FOR_NOTE,0))</f>
        <v>Изменение стоимости основных фондов за счет их ввода в эксплуатацию (вывода из эксплуатации)</v>
      </c>
      <c r="K55" s="136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205" t="str">
        <f>IF(I55=0,"",I55)</f>
        <v>4.1</v>
      </c>
      <c r="M55" s="1205" t="str">
        <f>IF(J55=0,"",J55)</f>
        <v>Изменение стоимости основных фондов за счет их ввода в эксплуатацию (вывода из эксплуатации)</v>
      </c>
      <c r="N55" s="1205" t="str">
        <f>IF(K55=0,"",K55)</f>
        <v>Указываются общее изменение стоимости основных фондов за счет их ввода в эксплуатацию и вывода из эксплуатации.</v>
      </c>
      <c r="O55" s="1319" t="s">
        <v>354</v>
      </c>
      <c r="P55" s="1319" t="s">
        <v>708</v>
      </c>
      <c r="Q55" s="1319" t="s">
        <v>708</v>
      </c>
      <c r="R55" s="1319" t="s">
        <v>708</v>
      </c>
      <c r="S55" s="1319"/>
      <c r="T55" s="1204" t="s">
        <v>2113</v>
      </c>
      <c r="U55" s="1204" t="s">
        <v>2114</v>
      </c>
      <c r="V55" s="1204" t="s">
        <v>2114</v>
      </c>
      <c r="W55" s="1204" t="s">
        <v>2114</v>
      </c>
      <c r="X55" s="1204"/>
      <c r="Y55" s="1362"/>
      <c r="Z55" s="1207" t="s">
        <v>2115</v>
      </c>
      <c r="AA55" s="1207" t="s">
        <v>2115</v>
      </c>
      <c r="AB55" s="1207" t="s">
        <v>2115</v>
      </c>
      <c r="AC55" s="1207" t="s">
        <v>2115</v>
      </c>
      <c r="AD55" s="1207"/>
    </row>
    <row customHeight="1" ht="27">
      <c r="A56" s="1206"/>
      <c r="B56" s="1260">
        <v>39</v>
      </c>
      <c r="C56" s="1204" t="s">
        <v>980</v>
      </c>
      <c r="D56" s="1329"/>
      <c r="E56" s="1204"/>
      <c r="F56" s="1204"/>
      <c r="G56" s="1204"/>
      <c r="H56" s="1252"/>
      <c r="I56" s="1367" t="str">
        <f>INDEX(TEMPLATE_NUMBER_POINT_FHD,B56,MATCH(TEMPLATE_SPHERE,TEMPLATE_SPHERE_LIST_FOR_NOTE,0))</f>
        <v>4.1.1</v>
      </c>
      <c r="J56" s="1367" t="str">
        <f>INDEX(TEMPLATE_DATA_POINT_FHD,B56,MATCH(TEMPLATE_SPHERE,TEMPLATE_SPHERE_LIST_FOR_NOTE,0))</f>
        <v>Изменение стоимости основных фондов за счет их ввода в эксплуатацию</v>
      </c>
      <c r="K56" s="1367" t="str">
        <f>INDEX(TEMPLATE_NOTE_POINT_FHD,B56,MATCH(TEMPLATE_SPHERE,TEMPLATE_SPHERE_LIST_FOR_NOTE,0))</f>
        <v>Указываются изменение стоимости основных фондов за счет их ввода в эксплуатацию.</v>
      </c>
      <c r="L56" s="1205" t="str">
        <f>IF(I56=0,"",I56)</f>
        <v>4.1.1</v>
      </c>
      <c r="M56" s="1205" t="str">
        <f>IF(J56=0,"",J56)</f>
        <v>Изменение стоимости основных фондов за счет их ввода в эксплуатацию</v>
      </c>
      <c r="N56" s="1205" t="str">
        <f>IF(K56=0,"",K56)</f>
        <v>Указываются изменение стоимости основных фондов за счет их ввода в эксплуатацию.</v>
      </c>
      <c r="O56" s="1319" t="s">
        <v>1108</v>
      </c>
      <c r="P56" s="1319" t="s">
        <v>711</v>
      </c>
      <c r="Q56" s="1319" t="s">
        <v>711</v>
      </c>
      <c r="R56" s="1319" t="s">
        <v>711</v>
      </c>
      <c r="S56" s="1319"/>
      <c r="T56" s="1204" t="s">
        <v>2116</v>
      </c>
      <c r="U56" s="1204" t="s">
        <v>2117</v>
      </c>
      <c r="V56" s="1204" t="s">
        <v>2117</v>
      </c>
      <c r="W56" s="1204" t="s">
        <v>2117</v>
      </c>
      <c r="X56" s="1204"/>
      <c r="Y56" s="1362"/>
      <c r="Z56" s="1207" t="s">
        <v>713</v>
      </c>
      <c r="AA56" s="1207" t="s">
        <v>713</v>
      </c>
      <c r="AB56" s="1207" t="s">
        <v>713</v>
      </c>
      <c r="AC56" s="1207" t="s">
        <v>713</v>
      </c>
      <c r="AD56" s="1207"/>
    </row>
    <row customHeight="1" ht="27">
      <c r="A57" s="1206"/>
      <c r="B57" s="1260">
        <v>40</v>
      </c>
      <c r="C57" s="1204" t="s">
        <v>982</v>
      </c>
      <c r="D57" s="1329"/>
      <c r="E57" s="1204"/>
      <c r="F57" s="1204"/>
      <c r="G57" s="1204"/>
      <c r="H57" s="1252"/>
      <c r="I57" s="1367" t="str">
        <f>INDEX(TEMPLATE_NUMBER_POINT_FHD,B57,MATCH(TEMPLATE_SPHERE,TEMPLATE_SPHERE_LIST_FOR_NOTE,0))</f>
        <v>4.1.2</v>
      </c>
      <c r="J57" s="1367" t="str">
        <f>INDEX(TEMPLATE_DATA_POINT_FHD,B57,MATCH(TEMPLATE_SPHERE,TEMPLATE_SPHERE_LIST_FOR_NOTE,0))</f>
        <v>Изменение стоимости основных фондов за счет их вывода в эксплуатацию</v>
      </c>
      <c r="K57" s="1367" t="str">
        <f>INDEX(TEMPLATE_NOTE_POINT_FHD,B57,MATCH(TEMPLATE_SPHERE,TEMPLATE_SPHERE_LIST_FOR_NOTE,0))</f>
        <v>Указываются изменение стоимости основных фондов за счет их вывода из эксплуатации.</v>
      </c>
      <c r="L57" s="1205" t="str">
        <f>IF(I57=0,"",I57)</f>
        <v>4.1.2</v>
      </c>
      <c r="M57" s="1205" t="str">
        <f>IF(J57=0,"",J57)</f>
        <v>Изменение стоимости основных фондов за счет их вывода в эксплуатацию</v>
      </c>
      <c r="N57" s="1205" t="str">
        <f>IF(K57=0,"",K57)</f>
        <v>Указываются изменение стоимости основных фондов за счет их вывода из эксплуатации.</v>
      </c>
      <c r="O57" s="1319" t="s">
        <v>2118</v>
      </c>
      <c r="P57" s="1319" t="s">
        <v>714</v>
      </c>
      <c r="Q57" s="1319" t="s">
        <v>714</v>
      </c>
      <c r="R57" s="1319" t="s">
        <v>714</v>
      </c>
      <c r="S57" s="1319"/>
      <c r="T57" s="1204" t="s">
        <v>2119</v>
      </c>
      <c r="U57" s="1204" t="s">
        <v>2120</v>
      </c>
      <c r="V57" s="1204" t="s">
        <v>2120</v>
      </c>
      <c r="W57" s="1204" t="s">
        <v>2120</v>
      </c>
      <c r="X57" s="1204"/>
      <c r="Y57" s="1362"/>
      <c r="Z57" s="1207" t="s">
        <v>716</v>
      </c>
      <c r="AA57" s="1207" t="s">
        <v>716</v>
      </c>
      <c r="AB57" s="1207" t="s">
        <v>716</v>
      </c>
      <c r="AC57" s="1207" t="s">
        <v>716</v>
      </c>
      <c r="AD57" s="1207"/>
    </row>
    <row customHeight="1" ht="18">
      <c r="A58" s="1206"/>
      <c r="B58" s="1260">
        <v>41</v>
      </c>
      <c r="C58" s="1204">
        <v>2</v>
      </c>
      <c r="D58" s="1329"/>
      <c r="E58" s="1204"/>
      <c r="F58" s="1204"/>
      <c r="G58" s="1204"/>
      <c r="H58" s="1252"/>
      <c r="I58" s="1367" t="str">
        <f>INDEX(TEMPLATE_NUMBER_POINT_FHD,B58,MATCH(TEMPLATE_SPHERE,TEMPLATE_SPHERE_LIST_FOR_NOTE,0))</f>
        <v>4.2</v>
      </c>
      <c r="J58" s="1367" t="str">
        <f>INDEX(TEMPLATE_DATA_POINT_FHD,B58,MATCH(TEMPLATE_SPHERE,TEMPLATE_SPHERE_LIST_FOR_NOTE,0))</f>
        <v>Изменение стоимости основных фондов за счет их переоценки</v>
      </c>
      <c r="K58" s="1367">
        <f>INDEX(TEMPLATE_NOTE_POINT_FHD,B58,MATCH(TEMPLATE_SPHERE,TEMPLATE_SPHERE_LIST_FOR_NOTE,0))</f>
        <v>0</v>
      </c>
      <c r="L58" s="1205" t="str">
        <f>IF(I58=0,"",I58)</f>
        <v>4.2</v>
      </c>
      <c r="M58" s="1205" t="str">
        <f>IF(J58=0,"",J58)</f>
        <v>Изменение стоимости основных фондов за счет их переоценки</v>
      </c>
      <c r="N58" s="1205" t="str">
        <f>IF(K58=0,"",K58)</f>
        <v/>
      </c>
      <c r="O58" s="1319" t="s">
        <v>837</v>
      </c>
      <c r="P58" s="1319" t="s">
        <v>751</v>
      </c>
      <c r="Q58" s="1319" t="s">
        <v>751</v>
      </c>
      <c r="R58" s="1319" t="s">
        <v>751</v>
      </c>
      <c r="S58" s="1319"/>
      <c r="T58" s="1204" t="s">
        <v>2121</v>
      </c>
      <c r="U58" s="1204" t="s">
        <v>2121</v>
      </c>
      <c r="V58" s="1204" t="s">
        <v>2121</v>
      </c>
      <c r="W58" s="1204" t="s">
        <v>2121</v>
      </c>
      <c r="X58" s="1204"/>
      <c r="Y58" s="1362"/>
      <c r="Z58" s="1207"/>
      <c r="AA58" s="1210"/>
      <c r="AB58" s="1207"/>
      <c r="AC58" s="1207"/>
      <c r="AD58" s="1207"/>
    </row>
    <row customHeight="1" ht="36">
      <c r="A59" s="1206"/>
      <c r="B59" s="1260">
        <v>42</v>
      </c>
      <c r="C59" s="1204">
        <v>3</v>
      </c>
      <c r="D59" s="1329" t="s">
        <v>2106</v>
      </c>
      <c r="E59" s="1204" t="s">
        <v>2106</v>
      </c>
      <c r="F59" s="1204" t="s">
        <v>2106</v>
      </c>
      <c r="G59" s="1204"/>
      <c r="H59" s="1252"/>
      <c r="I59" s="1367" t="str">
        <f>INDEX(TEMPLATE_NUMBER_POINT_FHD,B59,MATCH(TEMPLATE_SPHERE,TEMPLATE_SPHERE_LIST_FOR_NOTE,0))</f>
        <v>5</v>
      </c>
      <c r="J59" s="1367"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367">
        <f>INDEX(TEMPLATE_NOTE_POINT_FHD,B59,MATCH(TEMPLATE_SPHERE,TEMPLATE_SPHERE_LIST_FOR_NOTE,0))</f>
        <v>0</v>
      </c>
      <c r="L59" s="1205" t="str">
        <f>IF(I59=0,"",I59)</f>
        <v>5</v>
      </c>
      <c r="M59" s="1205" t="str">
        <f>IF(J59=0,"",J59)</f>
        <v>Валовая прибыль (убытки) от продажи товаров и услуг по регулируемым видам деятельности в сфере горячего водоснабжения</v>
      </c>
      <c r="N59" s="1205" t="str">
        <f>IF(K59=0,"",K59)</f>
        <v/>
      </c>
      <c r="O59" s="1319"/>
      <c r="P59" s="1319" t="s">
        <v>119</v>
      </c>
      <c r="Q59" s="1319" t="s">
        <v>119</v>
      </c>
      <c r="R59" s="1319" t="s">
        <v>119</v>
      </c>
      <c r="S59" s="1319"/>
      <c r="T59" s="1204"/>
      <c r="U59" s="1204" t="s">
        <v>2122</v>
      </c>
      <c r="V59" s="1204" t="s">
        <v>2123</v>
      </c>
      <c r="W59" s="1204" t="s">
        <v>2124</v>
      </c>
      <c r="X59" s="1204"/>
      <c r="Y59" s="1362"/>
      <c r="Z59" s="1207"/>
      <c r="AA59" s="1210"/>
      <c r="AB59" s="1207"/>
      <c r="AC59" s="1207"/>
      <c r="AD59" s="1207"/>
    </row>
    <row customHeight="1" ht="81">
      <c r="A60" s="1206"/>
      <c r="B60" s="1260">
        <v>43</v>
      </c>
      <c r="C60" s="1204" t="s">
        <v>2125</v>
      </c>
      <c r="D60" s="1329" t="s">
        <v>2125</v>
      </c>
      <c r="E60" s="1204" t="s">
        <v>2125</v>
      </c>
      <c r="F60" s="1204" t="s">
        <v>2125</v>
      </c>
      <c r="G60" s="1204"/>
      <c r="H60" s="1252"/>
      <c r="I60" s="1367" t="str">
        <f>INDEX(TEMPLATE_NUMBER_POINT_FHD,B60,MATCH(TEMPLATE_SPHERE,TEMPLATE_SPHERE_LIST_FOR_NOTE,0))</f>
        <v>6</v>
      </c>
      <c r="J60" s="1367" t="str">
        <f>INDEX(TEMPLATE_DATA_POINT_FHD,B60,MATCH(TEMPLATE_SPHERE,TEMPLATE_SPHERE_LIST_FOR_NOTE,0))</f>
        <v>Годовая бухгалтерская (финансовая) отчетность, включая бухгалтерский баланс и приложения к нему</v>
      </c>
      <c r="K60" s="136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1205" t="str">
        <f>IF(I60=0,"",I60)</f>
        <v>6</v>
      </c>
      <c r="M60" s="1205" t="str">
        <f>IF(J60=0,"",J60)</f>
        <v>Годовая бухгалтерская (финансовая) отчетность, включая бухгалтерский баланс и приложения к нему</v>
      </c>
      <c r="N60" s="120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319" t="s">
        <v>91</v>
      </c>
      <c r="P60" s="1319" t="s">
        <v>91</v>
      </c>
      <c r="Q60" s="1319" t="s">
        <v>91</v>
      </c>
      <c r="R60" s="1319" t="s">
        <v>91</v>
      </c>
      <c r="S60" s="1319"/>
      <c r="T60" s="1204" t="s">
        <v>720</v>
      </c>
      <c r="U60" s="1204" t="s">
        <v>720</v>
      </c>
      <c r="V60" s="1204" t="s">
        <v>720</v>
      </c>
      <c r="W60" s="1204" t="s">
        <v>720</v>
      </c>
      <c r="X60" s="1204"/>
      <c r="Y60" s="1362"/>
      <c r="Z60" s="1207" t="s">
        <v>2126</v>
      </c>
      <c r="AA60" s="1210" t="s">
        <v>2127</v>
      </c>
      <c r="AB60" s="1207" t="s">
        <v>2128</v>
      </c>
      <c r="AC60" s="1207" t="s">
        <v>2127</v>
      </c>
      <c r="AD60" s="1207"/>
    </row>
    <row customHeight="1" ht="9">
      <c r="A61" s="1206"/>
      <c r="B61" s="1260">
        <v>44</v>
      </c>
      <c r="C61" s="1204"/>
      <c r="D61" s="1329" t="s">
        <v>2129</v>
      </c>
      <c r="E61" s="1204"/>
      <c r="F61" s="1204"/>
      <c r="G61" s="1204"/>
      <c r="H61" s="1252"/>
      <c r="I61" s="1367">
        <f>INDEX(TEMPLATE_NUMBER_POINT_FHD,B61,MATCH(TEMPLATE_SPHERE,TEMPLATE_SPHERE_LIST_FOR_NOTE,0))</f>
        <v>0</v>
      </c>
      <c r="J61" s="1367">
        <f>INDEX(TEMPLATE_DATA_POINT_FHD,B61,MATCH(TEMPLATE_SPHERE,TEMPLATE_SPHERE_LIST_FOR_NOTE,0))</f>
        <v>0</v>
      </c>
      <c r="K61" s="1367">
        <f>INDEX(TEMPLATE_NOTE_POINT_FHD,B61,MATCH(TEMPLATE_SPHERE,TEMPLATE_SPHERE_LIST_FOR_NOTE,0))</f>
        <v>0</v>
      </c>
      <c r="L61" s="1205" t="str">
        <f>IF(I61=0,"",I61)</f>
        <v/>
      </c>
      <c r="M61" s="1205" t="str">
        <f>IF(J61=0,"",J61)</f>
        <v/>
      </c>
      <c r="N61" s="1205" t="str">
        <f>IF(K61=0,"",K61)</f>
        <v/>
      </c>
      <c r="O61" s="1319"/>
      <c r="P61" s="1319" t="s">
        <v>92</v>
      </c>
      <c r="Q61" s="1319"/>
      <c r="R61" s="1319"/>
      <c r="S61" s="1319"/>
      <c r="T61" s="1204"/>
      <c r="U61" s="1204" t="s">
        <v>2130</v>
      </c>
      <c r="V61" s="1204"/>
      <c r="W61" s="1204"/>
      <c r="X61" s="1204"/>
      <c r="Y61" s="1362"/>
      <c r="Z61" s="1207"/>
      <c r="AA61" s="1210"/>
      <c r="AB61" s="1207"/>
      <c r="AC61" s="1207"/>
      <c r="AD61" s="1207"/>
    </row>
    <row customHeight="1" ht="9">
      <c r="A62" s="1206"/>
      <c r="B62" s="1260">
        <v>45</v>
      </c>
      <c r="C62" s="1204"/>
      <c r="D62" s="1329" t="s">
        <v>2131</v>
      </c>
      <c r="E62" s="1204"/>
      <c r="F62" s="1204"/>
      <c r="G62" s="1204"/>
      <c r="H62" s="1252"/>
      <c r="I62" s="1367">
        <f>INDEX(TEMPLATE_NUMBER_POINT_FHD,B62,MATCH(TEMPLATE_SPHERE,TEMPLATE_SPHERE_LIST_FOR_NOTE,0))</f>
        <v>0</v>
      </c>
      <c r="J62" s="1367">
        <f>INDEX(TEMPLATE_DATA_POINT_FHD,B62,MATCH(TEMPLATE_SPHERE,TEMPLATE_SPHERE_LIST_FOR_NOTE,0))</f>
        <v>0</v>
      </c>
      <c r="K62" s="1367">
        <f>INDEX(TEMPLATE_NOTE_POINT_FHD,B62,MATCH(TEMPLATE_SPHERE,TEMPLATE_SPHERE_LIST_FOR_NOTE,0))</f>
        <v>0</v>
      </c>
      <c r="L62" s="1205" t="str">
        <f>IF(I62=0,"",I62)</f>
        <v/>
      </c>
      <c r="M62" s="1205" t="str">
        <f>IF(J62=0,"",J62)</f>
        <v/>
      </c>
      <c r="N62" s="1205" t="str">
        <f>IF(K62=0,"",K62)</f>
        <v/>
      </c>
      <c r="O62" s="1319"/>
      <c r="P62" s="1319" t="s">
        <v>120</v>
      </c>
      <c r="Q62" s="1319"/>
      <c r="R62" s="1319"/>
      <c r="S62" s="1319"/>
      <c r="T62" s="1204"/>
      <c r="U62" s="1204" t="s">
        <v>2132</v>
      </c>
      <c r="V62" s="1204"/>
      <c r="W62" s="1204"/>
      <c r="X62" s="1204"/>
      <c r="Y62" s="1362"/>
      <c r="Z62" s="1207"/>
      <c r="AA62" s="1210"/>
      <c r="AB62" s="1207"/>
      <c r="AC62" s="1207"/>
      <c r="AD62" s="1207"/>
    </row>
    <row customHeight="1" ht="18">
      <c r="A63" s="1206"/>
      <c r="B63" s="1260">
        <v>46</v>
      </c>
      <c r="C63" s="1204"/>
      <c r="D63" s="1329" t="s">
        <v>2133</v>
      </c>
      <c r="E63" s="1204"/>
      <c r="F63" s="1204"/>
      <c r="G63" s="1204"/>
      <c r="H63" s="1252"/>
      <c r="I63" s="1367">
        <f>INDEX(TEMPLATE_NUMBER_POINT_FHD,B63,MATCH(TEMPLATE_SPHERE,TEMPLATE_SPHERE_LIST_FOR_NOTE,0))</f>
        <v>0</v>
      </c>
      <c r="J63" s="1367">
        <f>INDEX(TEMPLATE_DATA_POINT_FHD,B63,MATCH(TEMPLATE_SPHERE,TEMPLATE_SPHERE_LIST_FOR_NOTE,0))</f>
        <v>0</v>
      </c>
      <c r="K63" s="1367">
        <f>INDEX(TEMPLATE_NOTE_POINT_FHD,B63,MATCH(TEMPLATE_SPHERE,TEMPLATE_SPHERE_LIST_FOR_NOTE,0))</f>
        <v>0</v>
      </c>
      <c r="L63" s="1205" t="str">
        <f>IF(I63=0,"",I63)</f>
        <v/>
      </c>
      <c r="M63" s="1205" t="str">
        <f>IF(J63=0,"",J63)</f>
        <v/>
      </c>
      <c r="N63" s="1205" t="str">
        <f>IF(K63=0,"",K63)</f>
        <v/>
      </c>
      <c r="O63" s="1319"/>
      <c r="P63" s="1319" t="s">
        <v>156</v>
      </c>
      <c r="Q63" s="1319"/>
      <c r="R63" s="1319"/>
      <c r="S63" s="1319"/>
      <c r="T63" s="1204"/>
      <c r="U63" s="1204" t="s">
        <v>2134</v>
      </c>
      <c r="V63" s="1204"/>
      <c r="W63" s="1204"/>
      <c r="X63" s="1204"/>
      <c r="Y63" s="1362"/>
      <c r="Z63" s="1207"/>
      <c r="AA63" s="1210"/>
      <c r="AB63" s="1207"/>
      <c r="AC63" s="1207"/>
      <c r="AD63" s="1207"/>
    </row>
    <row customHeight="1" ht="18">
      <c r="A64" s="1206"/>
      <c r="B64" s="1260">
        <v>47</v>
      </c>
      <c r="C64" s="1204"/>
      <c r="D64" s="1329" t="s">
        <v>2135</v>
      </c>
      <c r="E64" s="1204"/>
      <c r="F64" s="1204"/>
      <c r="G64" s="1204"/>
      <c r="H64" s="1252"/>
      <c r="I64" s="1367">
        <f>INDEX(TEMPLATE_NUMBER_POINT_FHD,B64,MATCH(TEMPLATE_SPHERE,TEMPLATE_SPHERE_LIST_FOR_NOTE,0))</f>
        <v>0</v>
      </c>
      <c r="J64" s="1367">
        <f>INDEX(TEMPLATE_DATA_POINT_FHD,B64,MATCH(TEMPLATE_SPHERE,TEMPLATE_SPHERE_LIST_FOR_NOTE,0))</f>
        <v>0</v>
      </c>
      <c r="K64" s="1367">
        <f>INDEX(TEMPLATE_NOTE_POINT_FHD,B64,MATCH(TEMPLATE_SPHERE,TEMPLATE_SPHERE_LIST_FOR_NOTE,0))</f>
        <v>0</v>
      </c>
      <c r="L64" s="1205" t="str">
        <f>IF(I64=0,"",I64)</f>
        <v/>
      </c>
      <c r="M64" s="1205" t="str">
        <f>IF(J64=0,"",J64)</f>
        <v/>
      </c>
      <c r="N64" s="1205" t="str">
        <f>IF(K64=0,"",K64)</f>
        <v/>
      </c>
      <c r="O64" s="1319"/>
      <c r="P64" s="1319" t="s">
        <v>157</v>
      </c>
      <c r="Q64" s="1319"/>
      <c r="R64" s="1319"/>
      <c r="S64" s="1319"/>
      <c r="T64" s="1204"/>
      <c r="U64" s="1204" t="s">
        <v>2136</v>
      </c>
      <c r="V64" s="1204"/>
      <c r="W64" s="1204"/>
      <c r="X64" s="1204"/>
      <c r="Y64" s="1362"/>
      <c r="Z64" s="1207"/>
      <c r="AA64" s="1210" t="s">
        <v>2137</v>
      </c>
      <c r="AB64" s="1207"/>
      <c r="AC64" s="1207"/>
      <c r="AD64" s="1207"/>
    </row>
    <row customHeight="1" ht="18">
      <c r="A65" s="1206"/>
      <c r="B65" s="1260">
        <v>48</v>
      </c>
      <c r="C65" s="1204"/>
      <c r="D65" s="1329"/>
      <c r="E65" s="1204"/>
      <c r="F65" s="1204"/>
      <c r="G65" s="1204"/>
      <c r="H65" s="1252"/>
      <c r="I65" s="1367">
        <f>INDEX(TEMPLATE_NUMBER_POINT_FHD,B65,MATCH(TEMPLATE_SPHERE,TEMPLATE_SPHERE_LIST_FOR_NOTE,0))</f>
        <v>0</v>
      </c>
      <c r="J65" s="1367">
        <f>INDEX(TEMPLATE_DATA_POINT_FHD,B65,MATCH(TEMPLATE_SPHERE,TEMPLATE_SPHERE_LIST_FOR_NOTE,0))</f>
        <v>0</v>
      </c>
      <c r="K65" s="1367">
        <f>INDEX(TEMPLATE_NOTE_POINT_FHD,B65,MATCH(TEMPLATE_SPHERE,TEMPLATE_SPHERE_LIST_FOR_NOTE,0))</f>
        <v>0</v>
      </c>
      <c r="L65" s="1205" t="str">
        <f>IF(I65=0,"",I65)</f>
        <v/>
      </c>
      <c r="M65" s="1205" t="str">
        <f>IF(J65=0,"",J65)</f>
        <v/>
      </c>
      <c r="N65" s="1205" t="str">
        <f>IF(K65=0,"",K65)</f>
        <v/>
      </c>
      <c r="O65" s="1319"/>
      <c r="P65" s="1319" t="s">
        <v>2047</v>
      </c>
      <c r="Q65" s="1319"/>
      <c r="R65" s="1319"/>
      <c r="S65" s="1319"/>
      <c r="T65" s="1204"/>
      <c r="U65" s="1204" t="s">
        <v>2138</v>
      </c>
      <c r="V65" s="1204"/>
      <c r="W65" s="1204"/>
      <c r="X65" s="1204"/>
      <c r="Y65" s="1362"/>
      <c r="Z65" s="1207"/>
      <c r="AA65" s="1210"/>
      <c r="AB65" s="1207"/>
      <c r="AC65" s="1207"/>
      <c r="AD65" s="1207"/>
    </row>
    <row customHeight="1" ht="18">
      <c r="A66" s="1206"/>
      <c r="B66" s="1260">
        <v>49</v>
      </c>
      <c r="C66" s="1204"/>
      <c r="D66" s="1329"/>
      <c r="E66" s="1204"/>
      <c r="F66" s="1204"/>
      <c r="G66" s="1204"/>
      <c r="H66" s="1252"/>
      <c r="I66" s="1367">
        <f>INDEX(TEMPLATE_NUMBER_POINT_FHD,B66,MATCH(TEMPLATE_SPHERE,TEMPLATE_SPHERE_LIST_FOR_NOTE,0))</f>
        <v>0</v>
      </c>
      <c r="J66" s="1367">
        <f>INDEX(TEMPLATE_DATA_POINT_FHD,B66,MATCH(TEMPLATE_SPHERE,TEMPLATE_SPHERE_LIST_FOR_NOTE,0))</f>
        <v>0</v>
      </c>
      <c r="K66" s="1367">
        <f>INDEX(TEMPLATE_NOTE_POINT_FHD,B66,MATCH(TEMPLATE_SPHERE,TEMPLATE_SPHERE_LIST_FOR_NOTE,0))</f>
        <v>0</v>
      </c>
      <c r="L66" s="1205" t="str">
        <f>IF(I66=0,"",I66)</f>
        <v/>
      </c>
      <c r="M66" s="1205" t="str">
        <f>IF(J66=0,"",J66)</f>
        <v/>
      </c>
      <c r="N66" s="1205" t="str">
        <f>IF(K66=0,"",K66)</f>
        <v/>
      </c>
      <c r="O66" s="1319"/>
      <c r="P66" s="1319" t="s">
        <v>2051</v>
      </c>
      <c r="Q66" s="1319"/>
      <c r="R66" s="1319"/>
      <c r="S66" s="1319"/>
      <c r="T66" s="1204"/>
      <c r="U66" s="1204" t="s">
        <v>2139</v>
      </c>
      <c r="V66" s="1204"/>
      <c r="W66" s="1204"/>
      <c r="X66" s="1204"/>
      <c r="Y66" s="1362"/>
      <c r="Z66" s="1207"/>
      <c r="AA66" s="1210"/>
      <c r="AB66" s="1207"/>
      <c r="AC66" s="1207"/>
      <c r="AD66" s="1207"/>
    </row>
    <row customHeight="1" ht="27">
      <c r="A67" s="1206"/>
      <c r="B67" s="1260">
        <v>50</v>
      </c>
      <c r="C67" s="1204"/>
      <c r="D67" s="1329"/>
      <c r="E67" s="1204"/>
      <c r="F67" s="1204"/>
      <c r="G67" s="1204"/>
      <c r="H67" s="1252"/>
      <c r="I67" s="1367">
        <f>INDEX(TEMPLATE_NUMBER_POINT_FHD,B67,MATCH(TEMPLATE_SPHERE,TEMPLATE_SPHERE_LIST_FOR_NOTE,0))</f>
        <v>0</v>
      </c>
      <c r="J67" s="1367">
        <f>INDEX(TEMPLATE_DATA_POINT_FHD,B67,MATCH(TEMPLATE_SPHERE,TEMPLATE_SPHERE_LIST_FOR_NOTE,0))</f>
        <v>0</v>
      </c>
      <c r="K67" s="1367">
        <f>INDEX(TEMPLATE_NOTE_POINT_FHD,B67,MATCH(TEMPLATE_SPHERE,TEMPLATE_SPHERE_LIST_FOR_NOTE,0))</f>
        <v>0</v>
      </c>
      <c r="L67" s="1205" t="str">
        <f>IF(I67=0,"",I67)</f>
        <v/>
      </c>
      <c r="M67" s="1205" t="str">
        <f>IF(J67=0,"",J67)</f>
        <v/>
      </c>
      <c r="N67" s="1205" t="str">
        <f>IF(K67=0,"",K67)</f>
        <v/>
      </c>
      <c r="O67" s="1319"/>
      <c r="P67" s="1319" t="s">
        <v>2140</v>
      </c>
      <c r="Q67" s="1319"/>
      <c r="R67" s="1319"/>
      <c r="S67" s="1319"/>
      <c r="T67" s="1204"/>
      <c r="U67" s="1204" t="s">
        <v>2141</v>
      </c>
      <c r="V67" s="1204"/>
      <c r="W67" s="1204"/>
      <c r="X67" s="1204"/>
      <c r="Y67" s="1362"/>
      <c r="Z67" s="1207"/>
      <c r="AA67" s="1210"/>
      <c r="AB67" s="1207"/>
      <c r="AC67" s="1207"/>
      <c r="AD67" s="1207"/>
    </row>
    <row customHeight="1" ht="27">
      <c r="A68" s="1206"/>
      <c r="B68" s="1260">
        <v>51</v>
      </c>
      <c r="C68" s="1204"/>
      <c r="D68" s="1329"/>
      <c r="E68" s="1204"/>
      <c r="F68" s="1204"/>
      <c r="G68" s="1204"/>
      <c r="H68" s="1252"/>
      <c r="I68" s="1367">
        <f>INDEX(TEMPLATE_NUMBER_POINT_FHD,B68,MATCH(TEMPLATE_SPHERE,TEMPLATE_SPHERE_LIST_FOR_NOTE,0))</f>
        <v>0</v>
      </c>
      <c r="J68" s="1367">
        <f>INDEX(TEMPLATE_DATA_POINT_FHD,B68,MATCH(TEMPLATE_SPHERE,TEMPLATE_SPHERE_LIST_FOR_NOTE,0))</f>
        <v>0</v>
      </c>
      <c r="K68" s="1367">
        <f>INDEX(TEMPLATE_NOTE_POINT_FHD,B68,MATCH(TEMPLATE_SPHERE,TEMPLATE_SPHERE_LIST_FOR_NOTE,0))</f>
        <v>0</v>
      </c>
      <c r="L68" s="1205" t="str">
        <f>IF(I68=0,"",I68)</f>
        <v/>
      </c>
      <c r="M68" s="1205" t="str">
        <f>IF(J68=0,"",J68)</f>
        <v/>
      </c>
      <c r="N68" s="1205" t="str">
        <f>IF(K68=0,"",K68)</f>
        <v/>
      </c>
      <c r="O68" s="1319"/>
      <c r="P68" s="1319" t="s">
        <v>2142</v>
      </c>
      <c r="Q68" s="1319"/>
      <c r="R68" s="1319"/>
      <c r="S68" s="1319"/>
      <c r="T68" s="1204"/>
      <c r="U68" s="1204" t="s">
        <v>2143</v>
      </c>
      <c r="V68" s="1204"/>
      <c r="W68" s="1204"/>
      <c r="X68" s="1204"/>
      <c r="Y68" s="1362"/>
      <c r="Z68" s="1207"/>
      <c r="AA68" s="1210"/>
      <c r="AB68" s="1207"/>
      <c r="AC68" s="1207"/>
      <c r="AD68" s="1207"/>
    </row>
    <row customHeight="1" ht="9">
      <c r="A69" s="1206"/>
      <c r="B69" s="1260">
        <v>52</v>
      </c>
      <c r="C69" s="1204"/>
      <c r="D69" s="1329" t="s">
        <v>2144</v>
      </c>
      <c r="E69" s="1204"/>
      <c r="F69" s="1204"/>
      <c r="G69" s="1204"/>
      <c r="H69" s="1252"/>
      <c r="I69" s="1367">
        <f>INDEX(TEMPLATE_NUMBER_POINT_FHD,B69,MATCH(TEMPLATE_SPHERE,TEMPLATE_SPHERE_LIST_FOR_NOTE,0))</f>
        <v>0</v>
      </c>
      <c r="J69" s="1367">
        <f>INDEX(TEMPLATE_DATA_POINT_FHD,B69,MATCH(TEMPLATE_SPHERE,TEMPLATE_SPHERE_LIST_FOR_NOTE,0))</f>
        <v>0</v>
      </c>
      <c r="K69" s="1367">
        <f>INDEX(TEMPLATE_NOTE_POINT_FHD,B69,MATCH(TEMPLATE_SPHERE,TEMPLATE_SPHERE_LIST_FOR_NOTE,0))</f>
        <v>0</v>
      </c>
      <c r="L69" s="1205" t="str">
        <f>IF(I69=0,"",I69)</f>
        <v/>
      </c>
      <c r="M69" s="1205" t="str">
        <f>IF(J69=0,"",J69)</f>
        <v/>
      </c>
      <c r="N69" s="1205" t="str">
        <f>IF(K69=0,"",K69)</f>
        <v/>
      </c>
      <c r="O69" s="1319"/>
      <c r="P69" s="1319" t="s">
        <v>105</v>
      </c>
      <c r="Q69" s="1319"/>
      <c r="R69" s="1319"/>
      <c r="S69" s="1319"/>
      <c r="T69" s="1204"/>
      <c r="U69" s="1204" t="s">
        <v>2145</v>
      </c>
      <c r="V69" s="1204"/>
      <c r="W69" s="1204"/>
      <c r="X69" s="1204"/>
      <c r="Y69" s="1362"/>
      <c r="Z69" s="1207"/>
      <c r="AA69" s="1210"/>
      <c r="AB69" s="1207"/>
      <c r="AC69" s="1207"/>
      <c r="AD69" s="1207"/>
    </row>
    <row customHeight="1" ht="27">
      <c r="A70" s="1206"/>
      <c r="B70" s="1260">
        <v>53</v>
      </c>
      <c r="C70" s="1204"/>
      <c r="D70" s="1329"/>
      <c r="E70" s="1204" t="s">
        <v>2129</v>
      </c>
      <c r="F70" s="1204"/>
      <c r="G70" s="1204"/>
      <c r="H70" s="1252"/>
      <c r="I70" s="1367" t="str">
        <f>INDEX(TEMPLATE_NUMBER_POINT_FHD,B70,MATCH(TEMPLATE_SPHERE,TEMPLATE_SPHERE_LIST_FOR_NOTE,0))</f>
        <v>7</v>
      </c>
      <c r="J70" s="1367" t="str">
        <f>INDEX(TEMPLATE_DATA_POINT_FHD,B70,MATCH(TEMPLATE_SPHERE,TEMPLATE_SPHERE_LIST_FOR_NOTE,0))</f>
        <v>Объём приобретаемой холодной воды, используемой для горячего водоснабжения</v>
      </c>
      <c r="K70" s="1367">
        <f>INDEX(TEMPLATE_NOTE_POINT_FHD,B70,MATCH(TEMPLATE_SPHERE,TEMPLATE_SPHERE_LIST_FOR_NOTE,0))</f>
        <v>0</v>
      </c>
      <c r="L70" s="1205" t="str">
        <f>IF(I70=0,"",I70)</f>
        <v>7</v>
      </c>
      <c r="M70" s="1205" t="str">
        <f>IF(J70=0,"",J70)</f>
        <v>Объём приобретаемой холодной воды, используемой для горячего водоснабжения</v>
      </c>
      <c r="N70" s="1205" t="str">
        <f>IF(K70=0,"",K70)</f>
        <v/>
      </c>
      <c r="O70" s="1319"/>
      <c r="P70" s="1319"/>
      <c r="Q70" s="1319" t="s">
        <v>92</v>
      </c>
      <c r="R70" s="1319"/>
      <c r="S70" s="1319"/>
      <c r="T70" s="1204"/>
      <c r="U70" s="1204"/>
      <c r="V70" s="1204" t="s">
        <v>2146</v>
      </c>
      <c r="W70" s="1204"/>
      <c r="X70" s="1204"/>
      <c r="Y70" s="1362"/>
      <c r="Z70" s="1207"/>
      <c r="AA70" s="1210"/>
      <c r="AB70" s="1207"/>
      <c r="AC70" s="1207"/>
      <c r="AD70" s="1207"/>
    </row>
    <row customHeight="1" ht="36">
      <c r="A71" s="1206"/>
      <c r="B71" s="1260">
        <v>54</v>
      </c>
      <c r="C71" s="1204"/>
      <c r="D71" s="1329"/>
      <c r="E71" s="1204" t="s">
        <v>2131</v>
      </c>
      <c r="F71" s="1204"/>
      <c r="G71" s="1204"/>
      <c r="H71" s="1252"/>
      <c r="I71" s="1367" t="str">
        <f>INDEX(TEMPLATE_NUMBER_POINT_FHD,B71,MATCH(TEMPLATE_SPHERE,TEMPLATE_SPHERE_LIST_FOR_NOTE,0))</f>
        <v>8</v>
      </c>
      <c r="J71" s="1367"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367">
        <f>INDEX(TEMPLATE_NOTE_POINT_FHD,B71,MATCH(TEMPLATE_SPHERE,TEMPLATE_SPHERE_LIST_FOR_NOTE,0))</f>
        <v>0</v>
      </c>
      <c r="L71" s="1205" t="str">
        <f>IF(I71=0,"",I71)</f>
        <v>8</v>
      </c>
      <c r="M71" s="1205" t="str">
        <f>IF(J71=0,"",J71)</f>
        <v>Объём холодной воды, получаемой с применением собственных источников водозабора (скважин) и используемой для горячего водоснабжения</v>
      </c>
      <c r="N71" s="1205" t="str">
        <f>IF(K71=0,"",K71)</f>
        <v/>
      </c>
      <c r="O71" s="1319"/>
      <c r="P71" s="1319"/>
      <c r="Q71" s="1319" t="s">
        <v>120</v>
      </c>
      <c r="R71" s="1319"/>
      <c r="S71" s="1319"/>
      <c r="T71" s="1204"/>
      <c r="U71" s="1204"/>
      <c r="V71" s="1204" t="s">
        <v>2147</v>
      </c>
      <c r="W71" s="1204"/>
      <c r="X71" s="1204"/>
      <c r="Y71" s="1362"/>
      <c r="Z71" s="1207"/>
      <c r="AA71" s="1210"/>
      <c r="AB71" s="1207"/>
      <c r="AC71" s="1207"/>
      <c r="AD71" s="1207"/>
    </row>
    <row customHeight="1" ht="27">
      <c r="A72" s="1206"/>
      <c r="B72" s="1260">
        <v>55</v>
      </c>
      <c r="C72" s="1204"/>
      <c r="D72" s="1329"/>
      <c r="E72" s="1204" t="s">
        <v>2133</v>
      </c>
      <c r="F72" s="1204"/>
      <c r="G72" s="1204"/>
      <c r="H72" s="1252"/>
      <c r="I72" s="1367" t="str">
        <f>INDEX(TEMPLATE_NUMBER_POINT_FHD,B72,MATCH(TEMPLATE_SPHERE,TEMPLATE_SPHERE_LIST_FOR_NOTE,0))</f>
        <v>9</v>
      </c>
      <c r="J72" s="1367" t="str">
        <f>INDEX(TEMPLATE_DATA_POINT_FHD,B72,MATCH(TEMPLATE_SPHERE,TEMPLATE_SPHERE_LIST_FOR_NOTE,0))</f>
        <v>Объём приобретаемой тепловой энергии (мощности), используемой для горячего водоснабжения</v>
      </c>
      <c r="K72" s="1367">
        <f>INDEX(TEMPLATE_NOTE_POINT_FHD,B72,MATCH(TEMPLATE_SPHERE,TEMPLATE_SPHERE_LIST_FOR_NOTE,0))</f>
        <v>0</v>
      </c>
      <c r="L72" s="1205" t="str">
        <f>IF(I72=0,"",I72)</f>
        <v>9</v>
      </c>
      <c r="M72" s="1205" t="str">
        <f>IF(J72=0,"",J72)</f>
        <v>Объём приобретаемой тепловой энергии (мощности), используемой для горячего водоснабжения</v>
      </c>
      <c r="N72" s="1205" t="str">
        <f>IF(K72=0,"",K72)</f>
        <v/>
      </c>
      <c r="O72" s="1319"/>
      <c r="P72" s="1319"/>
      <c r="Q72" s="1319" t="s">
        <v>156</v>
      </c>
      <c r="R72" s="1319"/>
      <c r="S72" s="1319"/>
      <c r="T72" s="1204"/>
      <c r="U72" s="1204"/>
      <c r="V72" s="1204" t="s">
        <v>2148</v>
      </c>
      <c r="W72" s="1204"/>
      <c r="X72" s="1204"/>
      <c r="Y72" s="1362"/>
      <c r="Z72" s="1207"/>
      <c r="AA72" s="1210"/>
      <c r="AB72" s="1207"/>
      <c r="AC72" s="1207"/>
      <c r="AD72" s="1207"/>
    </row>
    <row customHeight="1" ht="36">
      <c r="A73" s="1206"/>
      <c r="B73" s="1260">
        <v>56</v>
      </c>
      <c r="C73" s="1204"/>
      <c r="D73" s="1329"/>
      <c r="E73" s="1204" t="s">
        <v>2135</v>
      </c>
      <c r="F73" s="1204"/>
      <c r="G73" s="1204"/>
      <c r="H73" s="1252"/>
      <c r="I73" s="1367" t="str">
        <f>INDEX(TEMPLATE_NUMBER_POINT_FHD,B73,MATCH(TEMPLATE_SPHERE,TEMPLATE_SPHERE_LIST_FOR_NOTE,0))</f>
        <v>10</v>
      </c>
      <c r="J73" s="1367"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367">
        <f>INDEX(TEMPLATE_NOTE_POINT_FHD,B73,MATCH(TEMPLATE_SPHERE,TEMPLATE_SPHERE_LIST_FOR_NOTE,0))</f>
        <v>0</v>
      </c>
      <c r="L73" s="1205" t="str">
        <f>IF(I73=0,"",I73)</f>
        <v>10</v>
      </c>
      <c r="M73" s="1205" t="str">
        <f>IF(J73=0,"",J73)</f>
        <v>Объём тепловой энергии, производимой с применением собственных источников и используемой для горячего водоснабжения</v>
      </c>
      <c r="N73" s="1205" t="str">
        <f>IF(K73=0,"",K73)</f>
        <v/>
      </c>
      <c r="O73" s="1319"/>
      <c r="P73" s="1319"/>
      <c r="Q73" s="1319" t="s">
        <v>157</v>
      </c>
      <c r="R73" s="1319"/>
      <c r="S73" s="1319"/>
      <c r="T73" s="1204"/>
      <c r="U73" s="1204"/>
      <c r="V73" s="1204" t="s">
        <v>2149</v>
      </c>
      <c r="W73" s="1204"/>
      <c r="X73" s="1204"/>
      <c r="Y73" s="1362"/>
      <c r="Z73" s="1207"/>
      <c r="AA73" s="1210"/>
      <c r="AB73" s="1207"/>
      <c r="AC73" s="1207"/>
      <c r="AD73" s="1207"/>
    </row>
    <row customHeight="1" ht="18">
      <c r="A74" s="1206"/>
      <c r="B74" s="1260">
        <v>57</v>
      </c>
      <c r="C74" s="1204"/>
      <c r="D74" s="1329"/>
      <c r="E74" s="1204" t="s">
        <v>2144</v>
      </c>
      <c r="F74" s="1204"/>
      <c r="G74" s="1204"/>
      <c r="H74" s="1252"/>
      <c r="I74" s="1367" t="str">
        <f>INDEX(TEMPLATE_NUMBER_POINT_FHD,B74,MATCH(TEMPLATE_SPHERE,TEMPLATE_SPHERE_LIST_FOR_NOTE,0))</f>
        <v>11</v>
      </c>
      <c r="J74" s="1367" t="str">
        <f>INDEX(TEMPLATE_DATA_POINT_FHD,B74,MATCH(TEMPLATE_SPHERE,TEMPLATE_SPHERE_LIST_FOR_NOTE,0))</f>
        <v>Потери горячей воды в сетях (процентов)</v>
      </c>
      <c r="K74" s="1367">
        <f>INDEX(TEMPLATE_NOTE_POINT_FHD,B74,MATCH(TEMPLATE_SPHERE,TEMPLATE_SPHERE_LIST_FOR_NOTE,0))</f>
        <v>0</v>
      </c>
      <c r="L74" s="1205" t="str">
        <f>IF(I74=0,"",I74)</f>
        <v>11</v>
      </c>
      <c r="M74" s="1205" t="str">
        <f>IF(J74=0,"",J74)</f>
        <v>Потери горячей воды в сетях (процентов)</v>
      </c>
      <c r="N74" s="1205" t="str">
        <f>IF(K74=0,"",K74)</f>
        <v/>
      </c>
      <c r="O74" s="1319"/>
      <c r="P74" s="1319"/>
      <c r="Q74" s="1319" t="s">
        <v>105</v>
      </c>
      <c r="R74" s="1319"/>
      <c r="S74" s="1319"/>
      <c r="T74" s="1204"/>
      <c r="U74" s="1204"/>
      <c r="V74" s="1204" t="s">
        <v>2150</v>
      </c>
      <c r="W74" s="1204"/>
      <c r="X74" s="1204"/>
      <c r="Y74" s="1362"/>
      <c r="Z74" s="1207"/>
      <c r="AA74" s="1210"/>
      <c r="AB74" s="1207"/>
      <c r="AC74" s="1207"/>
      <c r="AD74" s="1207"/>
    </row>
    <row customHeight="1" ht="18">
      <c r="A75" s="1206"/>
      <c r="B75" s="1260">
        <v>58</v>
      </c>
      <c r="C75" s="1204"/>
      <c r="D75" s="1329"/>
      <c r="E75" s="1204"/>
      <c r="F75" s="1204" t="s">
        <v>2129</v>
      </c>
      <c r="G75" s="1204"/>
      <c r="H75" s="1252"/>
      <c r="I75" s="1367">
        <f>INDEX(TEMPLATE_NUMBER_POINT_FHD,B75,MATCH(TEMPLATE_SPHERE,TEMPLATE_SPHERE_LIST_FOR_NOTE,0))</f>
        <v>0</v>
      </c>
      <c r="J75" s="1367">
        <f>INDEX(TEMPLATE_DATA_POINT_FHD,B75,MATCH(TEMPLATE_SPHERE,TEMPLATE_SPHERE_LIST_FOR_NOTE,0))</f>
        <v>0</v>
      </c>
      <c r="K75" s="1367">
        <f>INDEX(TEMPLATE_NOTE_POINT_FHD,B75,MATCH(TEMPLATE_SPHERE,TEMPLATE_SPHERE_LIST_FOR_NOTE,0))</f>
        <v>0</v>
      </c>
      <c r="L75" s="1205" t="str">
        <f>IF(I75=0,"",I75)</f>
        <v/>
      </c>
      <c r="M75" s="1205" t="str">
        <f>IF(J75=0,"",J75)</f>
        <v/>
      </c>
      <c r="N75" s="1205" t="str">
        <f>IF(K75=0,"",K75)</f>
        <v/>
      </c>
      <c r="O75" s="1319"/>
      <c r="P75" s="1319"/>
      <c r="Q75" s="1319"/>
      <c r="R75" s="1319" t="s">
        <v>92</v>
      </c>
      <c r="S75" s="1319"/>
      <c r="T75" s="1204"/>
      <c r="U75" s="1204"/>
      <c r="V75" s="1204"/>
      <c r="W75" s="1204" t="s">
        <v>2151</v>
      </c>
      <c r="X75" s="1204"/>
      <c r="Y75" s="1362"/>
      <c r="Z75" s="1207"/>
      <c r="AA75" s="1210"/>
      <c r="AB75" s="1207"/>
      <c r="AC75" s="1207"/>
      <c r="AD75" s="1207"/>
    </row>
    <row customHeight="1" ht="36">
      <c r="A76" s="1206"/>
      <c r="B76" s="1260">
        <v>59</v>
      </c>
      <c r="C76" s="1204"/>
      <c r="D76" s="1329"/>
      <c r="E76" s="1204"/>
      <c r="F76" s="1204" t="s">
        <v>2131</v>
      </c>
      <c r="G76" s="1204"/>
      <c r="H76" s="1252"/>
      <c r="I76" s="1367">
        <f>INDEX(TEMPLATE_NUMBER_POINT_FHD,B76,MATCH(TEMPLATE_SPHERE,TEMPLATE_SPHERE_LIST_FOR_NOTE,0))</f>
        <v>0</v>
      </c>
      <c r="J76" s="1367">
        <f>INDEX(TEMPLATE_DATA_POINT_FHD,B76,MATCH(TEMPLATE_SPHERE,TEMPLATE_SPHERE_LIST_FOR_NOTE,0))</f>
        <v>0</v>
      </c>
      <c r="K76" s="1367">
        <f>INDEX(TEMPLATE_NOTE_POINT_FHD,B76,MATCH(TEMPLATE_SPHERE,TEMPLATE_SPHERE_LIST_FOR_NOTE,0))</f>
        <v>0</v>
      </c>
      <c r="L76" s="1205" t="str">
        <f>IF(I76=0,"",I76)</f>
        <v/>
      </c>
      <c r="M76" s="1205" t="str">
        <f>IF(J76=0,"",J76)</f>
        <v/>
      </c>
      <c r="N76" s="1205" t="str">
        <f>IF(K76=0,"",K76)</f>
        <v/>
      </c>
      <c r="O76" s="1319"/>
      <c r="P76" s="1319"/>
      <c r="Q76" s="1319"/>
      <c r="R76" s="1319" t="s">
        <v>120</v>
      </c>
      <c r="S76" s="1319"/>
      <c r="T76" s="1204"/>
      <c r="U76" s="1204"/>
      <c r="V76" s="1204"/>
      <c r="W76" s="1204" t="s">
        <v>2152</v>
      </c>
      <c r="X76" s="1204"/>
      <c r="Y76" s="1362"/>
      <c r="Z76" s="1207"/>
      <c r="AA76" s="1210"/>
      <c r="AB76" s="1207"/>
      <c r="AC76" s="1207"/>
      <c r="AD76" s="1207"/>
    </row>
    <row customHeight="1" ht="18">
      <c r="A77" s="1206"/>
      <c r="B77" s="1260">
        <v>60</v>
      </c>
      <c r="C77" s="1204"/>
      <c r="D77" s="1329"/>
      <c r="E77" s="1204"/>
      <c r="F77" s="1204" t="s">
        <v>2133</v>
      </c>
      <c r="G77" s="1204"/>
      <c r="H77" s="1252"/>
      <c r="I77" s="1367">
        <f>INDEX(TEMPLATE_NUMBER_POINT_FHD,B77,MATCH(TEMPLATE_SPHERE,TEMPLATE_SPHERE_LIST_FOR_NOTE,0))</f>
        <v>0</v>
      </c>
      <c r="J77" s="1367">
        <f>INDEX(TEMPLATE_DATA_POINT_FHD,B77,MATCH(TEMPLATE_SPHERE,TEMPLATE_SPHERE_LIST_FOR_NOTE,0))</f>
        <v>0</v>
      </c>
      <c r="K77" s="1367">
        <f>INDEX(TEMPLATE_NOTE_POINT_FHD,B77,MATCH(TEMPLATE_SPHERE,TEMPLATE_SPHERE_LIST_FOR_NOTE,0))</f>
        <v>0</v>
      </c>
      <c r="L77" s="1205" t="str">
        <f>IF(I77=0,"",I77)</f>
        <v/>
      </c>
      <c r="M77" s="1205" t="str">
        <f>IF(J77=0,"",J77)</f>
        <v/>
      </c>
      <c r="N77" s="1205" t="str">
        <f>IF(K77=0,"",K77)</f>
        <v/>
      </c>
      <c r="O77" s="1319"/>
      <c r="P77" s="1319"/>
      <c r="Q77" s="1319"/>
      <c r="R77" s="1319" t="s">
        <v>156</v>
      </c>
      <c r="S77" s="1319"/>
      <c r="T77" s="1204"/>
      <c r="U77" s="1204"/>
      <c r="V77" s="1204"/>
      <c r="W77" s="1204" t="s">
        <v>2153</v>
      </c>
      <c r="X77" s="1204"/>
      <c r="Y77" s="1362"/>
      <c r="Z77" s="1207"/>
      <c r="AA77" s="1210"/>
      <c r="AB77" s="1207"/>
      <c r="AC77" s="1207"/>
      <c r="AD77" s="1207"/>
    </row>
    <row customHeight="1" ht="72">
      <c r="A78" s="1206"/>
      <c r="B78" s="1260">
        <v>61</v>
      </c>
      <c r="C78" s="1204" t="s">
        <v>2129</v>
      </c>
      <c r="D78" s="1329"/>
      <c r="E78" s="1204"/>
      <c r="F78" s="1204"/>
      <c r="G78" s="1204"/>
      <c r="H78" s="1252"/>
      <c r="I78" s="1367">
        <f>INDEX(TEMPLATE_NUMBER_POINT_FHD,B78,MATCH(TEMPLATE_SPHERE,TEMPLATE_SPHERE_LIST_FOR_NOTE,0))</f>
        <v>0</v>
      </c>
      <c r="J78" s="1367">
        <f>INDEX(TEMPLATE_DATA_POINT_FHD,B78,MATCH(TEMPLATE_SPHERE,TEMPLATE_SPHERE_LIST_FOR_NOTE,0))</f>
        <v>0</v>
      </c>
      <c r="K78" s="1367">
        <f>INDEX(TEMPLATE_NOTE_POINT_FHD,B78,MATCH(TEMPLATE_SPHERE,TEMPLATE_SPHERE_LIST_FOR_NOTE,0))</f>
        <v>0</v>
      </c>
      <c r="L78" s="1205" t="str">
        <f>IF(I78=0,"",I78)</f>
        <v/>
      </c>
      <c r="M78" s="1205" t="str">
        <f>IF(J78=0,"",J78)</f>
        <v/>
      </c>
      <c r="N78" s="1205" t="str">
        <f>IF(K78=0,"",K78)</f>
        <v/>
      </c>
      <c r="O78" s="1319" t="s">
        <v>92</v>
      </c>
      <c r="P78" s="1319"/>
      <c r="Q78" s="1319"/>
      <c r="R78" s="1319"/>
      <c r="S78" s="1319"/>
      <c r="T78" s="1204" t="s">
        <v>2154</v>
      </c>
      <c r="U78" s="1204"/>
      <c r="V78" s="1204"/>
      <c r="W78" s="1204"/>
      <c r="X78" s="1204"/>
      <c r="Y78" s="1362"/>
      <c r="Z78" s="1207" t="s">
        <v>2155</v>
      </c>
      <c r="AA78" s="1210"/>
      <c r="AB78" s="1207"/>
      <c r="AC78" s="1207"/>
      <c r="AD78" s="1207"/>
    </row>
    <row customHeight="1" ht="36">
      <c r="A79" s="1206"/>
      <c r="B79" s="1260">
        <v>62</v>
      </c>
      <c r="C79" s="1204" t="s">
        <v>2131</v>
      </c>
      <c r="D79" s="1329"/>
      <c r="E79" s="1204"/>
      <c r="F79" s="1204"/>
      <c r="G79" s="1204"/>
      <c r="H79" s="1252"/>
      <c r="I79" s="1367">
        <f>INDEX(TEMPLATE_NUMBER_POINT_FHD,B79,MATCH(TEMPLATE_SPHERE,TEMPLATE_SPHERE_LIST_FOR_NOTE,0))</f>
        <v>0</v>
      </c>
      <c r="J79" s="1367">
        <f>INDEX(TEMPLATE_DATA_POINT_FHD,B79,MATCH(TEMPLATE_SPHERE,TEMPLATE_SPHERE_LIST_FOR_NOTE,0))</f>
        <v>0</v>
      </c>
      <c r="K79" s="1367">
        <f>INDEX(TEMPLATE_NOTE_POINT_FHD,B79,MATCH(TEMPLATE_SPHERE,TEMPLATE_SPHERE_LIST_FOR_NOTE,0))</f>
        <v>0</v>
      </c>
      <c r="L79" s="1205" t="str">
        <f>IF(I79=0,"",I79)</f>
        <v/>
      </c>
      <c r="M79" s="1205" t="str">
        <f>IF(J79=0,"",J79)</f>
        <v/>
      </c>
      <c r="N79" s="1205" t="str">
        <f>IF(K79=0,"",K79)</f>
        <v/>
      </c>
      <c r="O79" s="1319" t="s">
        <v>120</v>
      </c>
      <c r="P79" s="1319"/>
      <c r="Q79" s="1319"/>
      <c r="R79" s="1319"/>
      <c r="S79" s="1319"/>
      <c r="T79" s="1204" t="s">
        <v>2156</v>
      </c>
      <c r="U79" s="1204"/>
      <c r="V79" s="1204"/>
      <c r="W79" s="1204"/>
      <c r="X79" s="1204"/>
      <c r="Y79" s="1362"/>
      <c r="Z79" s="1207" t="s">
        <v>2157</v>
      </c>
      <c r="AA79" s="1210"/>
      <c r="AB79" s="1207"/>
      <c r="AC79" s="1207"/>
      <c r="AD79" s="1207"/>
    </row>
    <row customHeight="1" ht="45">
      <c r="A80" s="1206"/>
      <c r="B80" s="1260">
        <v>63</v>
      </c>
      <c r="C80" s="1204" t="s">
        <v>2133</v>
      </c>
      <c r="D80" s="1329"/>
      <c r="E80" s="1204"/>
      <c r="F80" s="1204"/>
      <c r="G80" s="1204"/>
      <c r="H80" s="1252"/>
      <c r="I80" s="1367">
        <f>INDEX(TEMPLATE_NUMBER_POINT_FHD,B80,MATCH(TEMPLATE_SPHERE,TEMPLATE_SPHERE_LIST_FOR_NOTE,0))</f>
        <v>0</v>
      </c>
      <c r="J80" s="1367">
        <f>INDEX(TEMPLATE_DATA_POINT_FHD,B80,MATCH(TEMPLATE_SPHERE,TEMPLATE_SPHERE_LIST_FOR_NOTE,0))</f>
        <v>0</v>
      </c>
      <c r="K80" s="1367">
        <f>INDEX(TEMPLATE_NOTE_POINT_FHD,B80,MATCH(TEMPLATE_SPHERE,TEMPLATE_SPHERE_LIST_FOR_NOTE,0))</f>
        <v>0</v>
      </c>
      <c r="L80" s="1205" t="str">
        <f>IF(I80=0,"",I80)</f>
        <v/>
      </c>
      <c r="M80" s="1205" t="str">
        <f>IF(J80=0,"",J80)</f>
        <v/>
      </c>
      <c r="N80" s="1205" t="str">
        <f>IF(K80=0,"",K80)</f>
        <v/>
      </c>
      <c r="O80" s="1319" t="s">
        <v>156</v>
      </c>
      <c r="P80" s="1319"/>
      <c r="Q80" s="1319"/>
      <c r="R80" s="1319"/>
      <c r="S80" s="1319"/>
      <c r="T80" s="1204" t="s">
        <v>2158</v>
      </c>
      <c r="U80" s="1204"/>
      <c r="V80" s="1204"/>
      <c r="W80" s="1204"/>
      <c r="X80" s="1204"/>
      <c r="Y80" s="1362"/>
      <c r="Z80" s="1207" t="s">
        <v>2159</v>
      </c>
      <c r="AA80" s="1210"/>
      <c r="AB80" s="1207"/>
      <c r="AC80" s="1207"/>
      <c r="AD80" s="1207"/>
    </row>
    <row customHeight="1" ht="36">
      <c r="A81" s="1206"/>
      <c r="B81" s="1260">
        <v>64</v>
      </c>
      <c r="C81" s="1204" t="s">
        <v>2135</v>
      </c>
      <c r="D81" s="1329"/>
      <c r="E81" s="1204"/>
      <c r="F81" s="1204"/>
      <c r="G81" s="1204"/>
      <c r="H81" s="1252"/>
      <c r="I81" s="1367">
        <f>INDEX(TEMPLATE_NUMBER_POINT_FHD,B81,MATCH(TEMPLATE_SPHERE,TEMPLATE_SPHERE_LIST_FOR_NOTE,0))</f>
        <v>0</v>
      </c>
      <c r="J81" s="1367">
        <f>INDEX(TEMPLATE_DATA_POINT_FHD,B81,MATCH(TEMPLATE_SPHERE,TEMPLATE_SPHERE_LIST_FOR_NOTE,0))</f>
        <v>0</v>
      </c>
      <c r="K81" s="1367">
        <f>INDEX(TEMPLATE_NOTE_POINT_FHD,B81,MATCH(TEMPLATE_SPHERE,TEMPLATE_SPHERE_LIST_FOR_NOTE,0))</f>
        <v>0</v>
      </c>
      <c r="L81" s="1205" t="str">
        <f>IF(I81=0,"",I81)</f>
        <v/>
      </c>
      <c r="M81" s="1205" t="str">
        <f>IF(J81=0,"",J81)</f>
        <v/>
      </c>
      <c r="N81" s="1205" t="str">
        <f>IF(K81=0,"",K81)</f>
        <v/>
      </c>
      <c r="O81" s="1319" t="s">
        <v>2038</v>
      </c>
      <c r="P81" s="1319"/>
      <c r="Q81" s="1319"/>
      <c r="R81" s="1319"/>
      <c r="S81" s="1319"/>
      <c r="T81" s="1204" t="s">
        <v>2160</v>
      </c>
      <c r="U81" s="1204"/>
      <c r="V81" s="1204"/>
      <c r="W81" s="1204"/>
      <c r="X81" s="1204"/>
      <c r="Y81" s="1362"/>
      <c r="Z81" s="1207" t="s">
        <v>2161</v>
      </c>
      <c r="AA81" s="1210"/>
      <c r="AB81" s="1207"/>
      <c r="AC81" s="1207"/>
      <c r="AD81" s="1207"/>
    </row>
    <row customHeight="1" ht="90">
      <c r="A82" s="1206"/>
      <c r="B82" s="1260">
        <v>65</v>
      </c>
      <c r="C82" s="1204" t="s">
        <v>2144</v>
      </c>
      <c r="D82" s="1329"/>
      <c r="E82" s="1204"/>
      <c r="F82" s="1204"/>
      <c r="G82" s="1204"/>
      <c r="H82" s="1252"/>
      <c r="I82" s="1367">
        <f>INDEX(TEMPLATE_NUMBER_POINT_FHD,B82,MATCH(TEMPLATE_SPHERE,TEMPLATE_SPHERE_LIST_FOR_NOTE,0))</f>
        <v>0</v>
      </c>
      <c r="J82" s="1367">
        <f>INDEX(TEMPLATE_DATA_POINT_FHD,B82,MATCH(TEMPLATE_SPHERE,TEMPLATE_SPHERE_LIST_FOR_NOTE,0))</f>
        <v>0</v>
      </c>
      <c r="K82" s="1367">
        <f>INDEX(TEMPLATE_NOTE_POINT_FHD,B82,MATCH(TEMPLATE_SPHERE,TEMPLATE_SPHERE_LIST_FOR_NOTE,0))</f>
        <v>0</v>
      </c>
      <c r="L82" s="1205" t="str">
        <f>IF(I82=0,"",I82)</f>
        <v/>
      </c>
      <c r="M82" s="1205" t="str">
        <f>IF(J82=0,"",J82)</f>
        <v/>
      </c>
      <c r="N82" s="1205" t="str">
        <f>IF(K82=0,"",K82)</f>
        <v/>
      </c>
      <c r="O82" s="1319" t="s">
        <v>157</v>
      </c>
      <c r="P82" s="1319"/>
      <c r="Q82" s="1319"/>
      <c r="R82" s="1319"/>
      <c r="S82" s="1319"/>
      <c r="T82" s="1204" t="s">
        <v>2162</v>
      </c>
      <c r="U82" s="1204"/>
      <c r="V82" s="1204"/>
      <c r="W82" s="1204"/>
      <c r="X82" s="1204"/>
      <c r="Y82" s="1362"/>
      <c r="Z82" s="1207" t="s">
        <v>2163</v>
      </c>
      <c r="AA82" s="1210"/>
      <c r="AB82" s="1207"/>
      <c r="AC82" s="1207"/>
      <c r="AD82" s="1207"/>
    </row>
    <row customHeight="1" ht="9">
      <c r="A83" s="1206"/>
      <c r="B83" s="1260">
        <v>66</v>
      </c>
      <c r="C83" s="1204"/>
      <c r="D83" s="1329"/>
      <c r="E83" s="1204"/>
      <c r="F83" s="1204"/>
      <c r="G83" s="1204"/>
      <c r="H83" s="1252"/>
      <c r="I83" s="1367">
        <f>INDEX(TEMPLATE_NUMBER_POINT_FHD,B83,MATCH(TEMPLATE_SPHERE,TEMPLATE_SPHERE_LIST_FOR_NOTE,0))</f>
        <v>0</v>
      </c>
      <c r="J83" s="1367">
        <f>INDEX(TEMPLATE_DATA_POINT_FHD,B83,MATCH(TEMPLATE_SPHERE,TEMPLATE_SPHERE_LIST_FOR_NOTE,0))</f>
        <v>0</v>
      </c>
      <c r="K83" s="1367">
        <f>INDEX(TEMPLATE_NOTE_POINT_FHD,B83,MATCH(TEMPLATE_SPHERE,TEMPLATE_SPHERE_LIST_FOR_NOTE,0))</f>
        <v>0</v>
      </c>
      <c r="L83" s="1205" t="str">
        <f>IF(I83=0,"",I83)</f>
        <v/>
      </c>
      <c r="M83" s="1205" t="str">
        <f>IF(J83=0,"",J83)</f>
        <v/>
      </c>
      <c r="N83" s="1205" t="str">
        <f>IF(K83=0,"",K83)</f>
        <v/>
      </c>
      <c r="O83" s="1319" t="s">
        <v>2047</v>
      </c>
      <c r="P83" s="1319"/>
      <c r="Q83" s="1319"/>
      <c r="R83" s="1319"/>
      <c r="S83" s="1319"/>
      <c r="T83" s="1204" t="s">
        <v>2164</v>
      </c>
      <c r="U83" s="1204"/>
      <c r="V83" s="1204"/>
      <c r="W83" s="1204"/>
      <c r="X83" s="1204"/>
      <c r="Y83" s="1362"/>
      <c r="Z83" s="1207"/>
      <c r="AA83" s="1210"/>
      <c r="AB83" s="1207"/>
      <c r="AC83" s="1207"/>
      <c r="AD83" s="1207"/>
    </row>
    <row customHeight="1" ht="54">
      <c r="A84" s="1206"/>
      <c r="B84" s="1260">
        <v>67</v>
      </c>
      <c r="C84" s="1204"/>
      <c r="D84" s="1329"/>
      <c r="E84" s="1204"/>
      <c r="F84" s="1204"/>
      <c r="G84" s="1204"/>
      <c r="H84" s="1252"/>
      <c r="I84" s="1367">
        <f>INDEX(TEMPLATE_NUMBER_POINT_FHD,B84,MATCH(TEMPLATE_SPHERE,TEMPLATE_SPHERE_LIST_FOR_NOTE,0))</f>
        <v>0</v>
      </c>
      <c r="J84" s="1367">
        <f>INDEX(TEMPLATE_DATA_POINT_FHD,B84,MATCH(TEMPLATE_SPHERE,TEMPLATE_SPHERE_LIST_FOR_NOTE,0))</f>
        <v>0</v>
      </c>
      <c r="K84" s="1367">
        <f>INDEX(TEMPLATE_NOTE_POINT_FHD,B84,MATCH(TEMPLATE_SPHERE,TEMPLATE_SPHERE_LIST_FOR_NOTE,0))</f>
        <v>0</v>
      </c>
      <c r="L84" s="1205" t="str">
        <f>IF(I84=0,"",I84)</f>
        <v/>
      </c>
      <c r="M84" s="1205" t="str">
        <f>IF(J84=0,"",J84)</f>
        <v/>
      </c>
      <c r="N84" s="1205" t="str">
        <f>IF(K84=0,"",K84)</f>
        <v/>
      </c>
      <c r="O84" s="1319" t="s">
        <v>2165</v>
      </c>
      <c r="P84" s="1319"/>
      <c r="Q84" s="1319"/>
      <c r="R84" s="1319"/>
      <c r="S84" s="1319"/>
      <c r="T84" s="1204" t="s">
        <v>2166</v>
      </c>
      <c r="U84" s="1204"/>
      <c r="V84" s="1204"/>
      <c r="W84" s="1204"/>
      <c r="X84" s="1204"/>
      <c r="Y84" s="1362"/>
      <c r="Z84" s="1207"/>
      <c r="AA84" s="1210"/>
      <c r="AB84" s="1207"/>
      <c r="AC84" s="1207"/>
      <c r="AD84" s="1207"/>
    </row>
    <row customHeight="1" ht="9">
      <c r="A85" s="1206"/>
      <c r="B85" s="1260">
        <v>68</v>
      </c>
      <c r="C85" s="1204"/>
      <c r="D85" s="1329"/>
      <c r="E85" s="1204"/>
      <c r="F85" s="1204"/>
      <c r="G85" s="1204"/>
      <c r="H85" s="1252"/>
      <c r="I85" s="1367">
        <f>INDEX(TEMPLATE_NUMBER_POINT_FHD,B85,MATCH(TEMPLATE_SPHERE,TEMPLATE_SPHERE_LIST_FOR_NOTE,0))</f>
        <v>0</v>
      </c>
      <c r="J85" s="1367">
        <f>INDEX(TEMPLATE_DATA_POINT_FHD,B85,MATCH(TEMPLATE_SPHERE,TEMPLATE_SPHERE_LIST_FOR_NOTE,0))</f>
        <v>0</v>
      </c>
      <c r="K85" s="1367">
        <f>INDEX(TEMPLATE_NOTE_POINT_FHD,B85,MATCH(TEMPLATE_SPHERE,TEMPLATE_SPHERE_LIST_FOR_NOTE,0))</f>
        <v>0</v>
      </c>
      <c r="L85" s="1205" t="str">
        <f>IF(I85=0,"",I85)</f>
        <v/>
      </c>
      <c r="M85" s="1205" t="str">
        <f>IF(J85=0,"",J85)</f>
        <v/>
      </c>
      <c r="N85" s="1205" t="str">
        <f>IF(K85=0,"",K85)</f>
        <v/>
      </c>
      <c r="O85" s="1319" t="s">
        <v>2051</v>
      </c>
      <c r="P85" s="1319"/>
      <c r="Q85" s="1319"/>
      <c r="R85" s="1319"/>
      <c r="S85" s="1319"/>
      <c r="T85" s="1204" t="s">
        <v>2167</v>
      </c>
      <c r="U85" s="1204"/>
      <c r="V85" s="1204"/>
      <c r="W85" s="1204"/>
      <c r="X85" s="1204"/>
      <c r="Y85" s="1362"/>
      <c r="Z85" s="1207"/>
      <c r="AA85" s="1210"/>
      <c r="AB85" s="1207"/>
      <c r="AC85" s="1207"/>
      <c r="AD85" s="1207"/>
    </row>
    <row customHeight="1" ht="27">
      <c r="A86" s="1206"/>
      <c r="B86" s="1260">
        <v>69</v>
      </c>
      <c r="C86" s="1204"/>
      <c r="D86" s="1329"/>
      <c r="E86" s="1204"/>
      <c r="F86" s="1204"/>
      <c r="G86" s="1204"/>
      <c r="H86" s="1252"/>
      <c r="I86" s="1367">
        <f>INDEX(TEMPLATE_NUMBER_POINT_FHD,B86,MATCH(TEMPLATE_SPHERE,TEMPLATE_SPHERE_LIST_FOR_NOTE,0))</f>
        <v>0</v>
      </c>
      <c r="J86" s="1367">
        <f>INDEX(TEMPLATE_DATA_POINT_FHD,B86,MATCH(TEMPLATE_SPHERE,TEMPLATE_SPHERE_LIST_FOR_NOTE,0))</f>
        <v>0</v>
      </c>
      <c r="K86" s="1367">
        <f>INDEX(TEMPLATE_NOTE_POINT_FHD,B86,MATCH(TEMPLATE_SPHERE,TEMPLATE_SPHERE_LIST_FOR_NOTE,0))</f>
        <v>0</v>
      </c>
      <c r="L86" s="1205" t="str">
        <f>IF(I86=0,"",I86)</f>
        <v/>
      </c>
      <c r="M86" s="1205" t="str">
        <f>IF(J86=0,"",J86)</f>
        <v/>
      </c>
      <c r="N86" s="1205" t="str">
        <f>IF(K86=0,"",K86)</f>
        <v/>
      </c>
      <c r="O86" s="1319" t="s">
        <v>2168</v>
      </c>
      <c r="P86" s="1319"/>
      <c r="Q86" s="1319"/>
      <c r="R86" s="1319"/>
      <c r="S86" s="1319"/>
      <c r="T86" s="1204" t="s">
        <v>2169</v>
      </c>
      <c r="U86" s="1204"/>
      <c r="V86" s="1204"/>
      <c r="W86" s="1204"/>
      <c r="X86" s="1204"/>
      <c r="Y86" s="1362"/>
      <c r="Z86" s="1207"/>
      <c r="AA86" s="1210"/>
      <c r="AB86" s="1207"/>
      <c r="AC86" s="1207"/>
      <c r="AD86" s="1207"/>
    </row>
    <row customHeight="1" ht="36">
      <c r="A87" s="1206"/>
      <c r="B87" s="1260">
        <v>70</v>
      </c>
      <c r="C87" s="1204" t="s">
        <v>2170</v>
      </c>
      <c r="D87" s="1329"/>
      <c r="E87" s="1204"/>
      <c r="F87" s="1204"/>
      <c r="G87" s="1204"/>
      <c r="H87" s="1252"/>
      <c r="I87" s="1367">
        <f>INDEX(TEMPLATE_NUMBER_POINT_FHD,B87,MATCH(TEMPLATE_SPHERE,TEMPLATE_SPHERE_LIST_FOR_NOTE,0))</f>
        <v>0</v>
      </c>
      <c r="J87" s="1367">
        <f>INDEX(TEMPLATE_DATA_POINT_FHD,B87,MATCH(TEMPLATE_SPHERE,TEMPLATE_SPHERE_LIST_FOR_NOTE,0))</f>
        <v>0</v>
      </c>
      <c r="K87" s="1367">
        <f>INDEX(TEMPLATE_NOTE_POINT_FHD,B87,MATCH(TEMPLATE_SPHERE,TEMPLATE_SPHERE_LIST_FOR_NOTE,0))</f>
        <v>0</v>
      </c>
      <c r="L87" s="1205" t="str">
        <f>IF(I87=0,"",I87)</f>
        <v/>
      </c>
      <c r="M87" s="1205" t="str">
        <f>IF(J87=0,"",J87)</f>
        <v/>
      </c>
      <c r="N87" s="1205" t="str">
        <f>IF(K87=0,"",K87)</f>
        <v/>
      </c>
      <c r="O87" s="1319" t="s">
        <v>105</v>
      </c>
      <c r="P87" s="1319"/>
      <c r="Q87" s="1319"/>
      <c r="R87" s="1319"/>
      <c r="S87" s="1319"/>
      <c r="T87" s="1204" t="s">
        <v>2171</v>
      </c>
      <c r="U87" s="1204"/>
      <c r="V87" s="1204"/>
      <c r="W87" s="1204"/>
      <c r="X87" s="1204"/>
      <c r="Y87" s="1362"/>
      <c r="Z87" s="1207"/>
      <c r="AA87" s="1210"/>
      <c r="AB87" s="1207"/>
      <c r="AC87" s="1207"/>
      <c r="AD87" s="1207"/>
    </row>
    <row customHeight="1" ht="18">
      <c r="A88" s="1206"/>
      <c r="B88" s="1260">
        <v>71</v>
      </c>
      <c r="C88" s="1204" t="s">
        <v>2172</v>
      </c>
      <c r="D88" s="1329"/>
      <c r="E88" s="1204"/>
      <c r="F88" s="1204"/>
      <c r="G88" s="1204"/>
      <c r="H88" s="1252"/>
      <c r="I88" s="1367">
        <f>INDEX(TEMPLATE_NUMBER_POINT_FHD,B88,MATCH(TEMPLATE_SPHERE,TEMPLATE_SPHERE_LIST_FOR_NOTE,0))</f>
        <v>0</v>
      </c>
      <c r="J88" s="1367">
        <f>INDEX(TEMPLATE_DATA_POINT_FHD,B88,MATCH(TEMPLATE_SPHERE,TEMPLATE_SPHERE_LIST_FOR_NOTE,0))</f>
        <v>0</v>
      </c>
      <c r="K88" s="1367">
        <f>INDEX(TEMPLATE_NOTE_POINT_FHD,B88,MATCH(TEMPLATE_SPHERE,TEMPLATE_SPHERE_LIST_FOR_NOTE,0))</f>
        <v>0</v>
      </c>
      <c r="L88" s="1205" t="str">
        <f>IF(I88=0,"",I88)</f>
        <v/>
      </c>
      <c r="M88" s="1205" t="str">
        <f>IF(J88=0,"",J88)</f>
        <v/>
      </c>
      <c r="N88" s="1205" t="str">
        <f>IF(K88=0,"",K88)</f>
        <v/>
      </c>
      <c r="O88" s="1319" t="s">
        <v>158</v>
      </c>
      <c r="P88" s="1319"/>
      <c r="Q88" s="1319"/>
      <c r="R88" s="1319"/>
      <c r="S88" s="1319"/>
      <c r="T88" s="1204" t="s">
        <v>2173</v>
      </c>
      <c r="U88" s="1204"/>
      <c r="V88" s="1204"/>
      <c r="W88" s="1204"/>
      <c r="X88" s="1204"/>
      <c r="Y88" s="1362"/>
      <c r="Z88" s="1207"/>
      <c r="AA88" s="1210"/>
      <c r="AB88" s="1207"/>
      <c r="AC88" s="1207"/>
      <c r="AD88" s="1207"/>
    </row>
    <row customHeight="1" ht="18">
      <c r="A89" s="1206"/>
      <c r="B89" s="1260">
        <v>72</v>
      </c>
      <c r="C89" s="1204" t="s">
        <v>2174</v>
      </c>
      <c r="D89" s="1329" t="s">
        <v>2170</v>
      </c>
      <c r="E89" s="1204" t="s">
        <v>2170</v>
      </c>
      <c r="F89" s="1204" t="s">
        <v>2135</v>
      </c>
      <c r="G89" s="1204"/>
      <c r="H89" s="1252"/>
      <c r="I89" s="1367" t="str">
        <f>INDEX(TEMPLATE_NUMBER_POINT_FHD,B89,MATCH(TEMPLATE_SPHERE,TEMPLATE_SPHERE_LIST_FOR_NOTE,0))</f>
        <v>12</v>
      </c>
      <c r="J89" s="1367" t="str">
        <f>INDEX(TEMPLATE_DATA_POINT_FHD,B89,MATCH(TEMPLATE_SPHERE,TEMPLATE_SPHERE_LIST_FOR_NOTE,0))</f>
        <v>Среднесписочная численность основного производственного персонала</v>
      </c>
      <c r="K89" s="1367">
        <f>INDEX(TEMPLATE_NOTE_POINT_FHD,B89,MATCH(TEMPLATE_SPHERE,TEMPLATE_SPHERE_LIST_FOR_NOTE,0))</f>
        <v>0</v>
      </c>
      <c r="L89" s="1205" t="str">
        <f>IF(I89=0,"",I89)</f>
        <v>12</v>
      </c>
      <c r="M89" s="1205" t="str">
        <f>IF(J89=0,"",J89)</f>
        <v>Среднесписочная численность основного производственного персонала</v>
      </c>
      <c r="N89" s="1205" t="str">
        <f>IF(K89=0,"",K89)</f>
        <v/>
      </c>
      <c r="O89" s="1319" t="s">
        <v>159</v>
      </c>
      <c r="P89" s="1319" t="s">
        <v>158</v>
      </c>
      <c r="Q89" s="1319" t="s">
        <v>158</v>
      </c>
      <c r="R89" s="1319" t="s">
        <v>157</v>
      </c>
      <c r="S89" s="1319"/>
      <c r="T89" s="1204" t="s">
        <v>2175</v>
      </c>
      <c r="U89" s="1204" t="s">
        <v>2175</v>
      </c>
      <c r="V89" s="1204" t="s">
        <v>2175</v>
      </c>
      <c r="W89" s="1204" t="s">
        <v>2175</v>
      </c>
      <c r="X89" s="1204"/>
      <c r="Y89" s="1362"/>
      <c r="Z89" s="1207"/>
      <c r="AA89" s="1210"/>
      <c r="AB89" s="1207"/>
      <c r="AC89" s="1207"/>
      <c r="AD89" s="1207"/>
    </row>
    <row customHeight="1" ht="27">
      <c r="A90" s="1206"/>
      <c r="B90" s="1260">
        <v>73</v>
      </c>
      <c r="C90" s="1204" t="s">
        <v>2176</v>
      </c>
      <c r="D90" s="1329"/>
      <c r="E90" s="1204"/>
      <c r="F90" s="1204"/>
      <c r="G90" s="1204"/>
      <c r="H90" s="1252"/>
      <c r="I90" s="1367">
        <f>INDEX(TEMPLATE_NUMBER_POINT_FHD,B90,MATCH(TEMPLATE_SPHERE,TEMPLATE_SPHERE_LIST_FOR_NOTE,0))</f>
        <v>0</v>
      </c>
      <c r="J90" s="1367">
        <f>INDEX(TEMPLATE_DATA_POINT_FHD,B90,MATCH(TEMPLATE_SPHERE,TEMPLATE_SPHERE_LIST_FOR_NOTE,0))</f>
        <v>0</v>
      </c>
      <c r="K90" s="1367">
        <f>INDEX(TEMPLATE_NOTE_POINT_FHD,B90,MATCH(TEMPLATE_SPHERE,TEMPLATE_SPHERE_LIST_FOR_NOTE,0))</f>
        <v>0</v>
      </c>
      <c r="L90" s="1205" t="str">
        <f>IF(I90=0,"",I90)</f>
        <v/>
      </c>
      <c r="M90" s="1205" t="str">
        <f>IF(J90=0,"",J90)</f>
        <v/>
      </c>
      <c r="N90" s="1205" t="str">
        <f>IF(K90=0,"",K90)</f>
        <v/>
      </c>
      <c r="O90" s="1319" t="s">
        <v>110</v>
      </c>
      <c r="P90" s="1319"/>
      <c r="Q90" s="1319"/>
      <c r="R90" s="1319"/>
      <c r="S90" s="1319"/>
      <c r="T90" s="1204" t="s">
        <v>2177</v>
      </c>
      <c r="U90" s="1204"/>
      <c r="V90" s="1204"/>
      <c r="W90" s="1204"/>
      <c r="X90" s="1204"/>
      <c r="Y90" s="1362"/>
      <c r="Z90" s="1207"/>
      <c r="AA90" s="1210"/>
      <c r="AB90" s="1207"/>
      <c r="AC90" s="1207"/>
      <c r="AD90" s="1207"/>
    </row>
    <row customHeight="1" ht="18">
      <c r="A91" s="1206"/>
      <c r="B91" s="1260">
        <v>74</v>
      </c>
      <c r="C91" s="1204"/>
      <c r="D91" s="1329" t="s">
        <v>2172</v>
      </c>
      <c r="E91" s="1204" t="s">
        <v>2172</v>
      </c>
      <c r="F91" s="1204"/>
      <c r="G91" s="1204"/>
      <c r="H91" s="1252"/>
      <c r="I91" s="1367" t="str">
        <f>INDEX(TEMPLATE_NUMBER_POINT_FHD,B91,MATCH(TEMPLATE_SPHERE,TEMPLATE_SPHERE_LIST_FOR_NOTE,0))</f>
        <v>13</v>
      </c>
      <c r="J91" s="1367" t="str">
        <f>INDEX(TEMPLATE_DATA_POINT_FHD,B91,MATCH(TEMPLATE_SPHERE,TEMPLATE_SPHERE_LIST_FOR_NOTE,0))</f>
        <v>Удельный расход электрической энергии на подачу воды в сеть</v>
      </c>
      <c r="K91" s="1367">
        <f>INDEX(TEMPLATE_NOTE_POINT_FHD,B91,MATCH(TEMPLATE_SPHERE,TEMPLATE_SPHERE_LIST_FOR_NOTE,0))</f>
        <v>0</v>
      </c>
      <c r="L91" s="1205" t="str">
        <f>IF(I91=0,"",I91)</f>
        <v>13</v>
      </c>
      <c r="M91" s="1205" t="str">
        <f>IF(J91=0,"",J91)</f>
        <v>Удельный расход электрической энергии на подачу воды в сеть</v>
      </c>
      <c r="N91" s="1205" t="str">
        <f>IF(K91=0,"",K91)</f>
        <v/>
      </c>
      <c r="O91" s="1319"/>
      <c r="P91" s="1319" t="s">
        <v>159</v>
      </c>
      <c r="Q91" s="1319" t="s">
        <v>159</v>
      </c>
      <c r="R91" s="1319"/>
      <c r="S91" s="1319"/>
      <c r="T91" s="1204"/>
      <c r="U91" s="1204" t="s">
        <v>2178</v>
      </c>
      <c r="V91" s="1204" t="s">
        <v>2178</v>
      </c>
      <c r="W91" s="1204"/>
      <c r="X91" s="1204"/>
      <c r="Y91" s="1362"/>
      <c r="Z91" s="1207"/>
      <c r="AA91" s="1210"/>
      <c r="AB91" s="1207"/>
      <c r="AC91" s="1207"/>
      <c r="AD91" s="1207"/>
    </row>
    <row customHeight="1" ht="27">
      <c r="A92" s="1206"/>
      <c r="B92" s="1260">
        <v>75</v>
      </c>
      <c r="C92" s="1204"/>
      <c r="D92" s="1329" t="s">
        <v>2174</v>
      </c>
      <c r="E92" s="1204"/>
      <c r="F92" s="1204"/>
      <c r="G92" s="1204"/>
      <c r="H92" s="1252"/>
      <c r="I92" s="1367">
        <f>INDEX(TEMPLATE_NUMBER_POINT_FHD,B92,MATCH(TEMPLATE_SPHERE,TEMPLATE_SPHERE_LIST_FOR_NOTE,0))</f>
        <v>0</v>
      </c>
      <c r="J92" s="1367">
        <f>INDEX(TEMPLATE_DATA_POINT_FHD,B92,MATCH(TEMPLATE_SPHERE,TEMPLATE_SPHERE_LIST_FOR_NOTE,0))</f>
        <v>0</v>
      </c>
      <c r="K92" s="1367">
        <f>INDEX(TEMPLATE_NOTE_POINT_FHD,B92,MATCH(TEMPLATE_SPHERE,TEMPLATE_SPHERE_LIST_FOR_NOTE,0))</f>
        <v>0</v>
      </c>
      <c r="L92" s="1205" t="str">
        <f>IF(I92=0,"",I92)</f>
        <v/>
      </c>
      <c r="M92" s="1205" t="str">
        <f>IF(J92=0,"",J92)</f>
        <v/>
      </c>
      <c r="N92" s="1205" t="str">
        <f>IF(K92=0,"",K92)</f>
        <v/>
      </c>
      <c r="O92" s="1319"/>
      <c r="P92" s="1319" t="s">
        <v>110</v>
      </c>
      <c r="Q92" s="1319"/>
      <c r="R92" s="1319"/>
      <c r="S92" s="1319"/>
      <c r="T92" s="1204"/>
      <c r="U92" s="1204" t="s">
        <v>2179</v>
      </c>
      <c r="V92" s="1204"/>
      <c r="W92" s="1204"/>
      <c r="X92" s="1204"/>
      <c r="Y92" s="1362"/>
      <c r="Z92" s="1207"/>
      <c r="AA92" s="1210" t="s">
        <v>2180</v>
      </c>
      <c r="AB92" s="1207"/>
      <c r="AC92" s="1207"/>
      <c r="AD92" s="1207"/>
    </row>
    <row customHeight="1" ht="27">
      <c r="A93" s="1206"/>
      <c r="B93" s="1260">
        <v>76</v>
      </c>
      <c r="C93" s="1204"/>
      <c r="D93" s="1329"/>
      <c r="E93" s="1204"/>
      <c r="F93" s="1204"/>
      <c r="G93" s="1204"/>
      <c r="H93" s="1252"/>
      <c r="I93" s="1367">
        <f>INDEX(TEMPLATE_NUMBER_POINT_FHD,B93,MATCH(TEMPLATE_SPHERE,TEMPLATE_SPHERE_LIST_FOR_NOTE,0))</f>
        <v>0</v>
      </c>
      <c r="J93" s="1367">
        <f>INDEX(TEMPLATE_DATA_POINT_FHD,B93,MATCH(TEMPLATE_SPHERE,TEMPLATE_SPHERE_LIST_FOR_NOTE,0))</f>
        <v>0</v>
      </c>
      <c r="K93" s="1367">
        <f>INDEX(TEMPLATE_NOTE_POINT_FHD,B93,MATCH(TEMPLATE_SPHERE,TEMPLATE_SPHERE_LIST_FOR_NOTE,0))</f>
        <v>0</v>
      </c>
      <c r="L93" s="1205" t="str">
        <f>IF(I93=0,"",I93)</f>
        <v/>
      </c>
      <c r="M93" s="1205" t="str">
        <f>IF(J93=0,"",J93)</f>
        <v/>
      </c>
      <c r="N93" s="1205" t="str">
        <f>IF(K93=0,"",K93)</f>
        <v/>
      </c>
      <c r="O93" s="1319"/>
      <c r="P93" s="1319" t="s">
        <v>2079</v>
      </c>
      <c r="Q93" s="1319"/>
      <c r="R93" s="1319"/>
      <c r="S93" s="1319"/>
      <c r="T93" s="1204"/>
      <c r="U93" s="1204" t="s">
        <v>2181</v>
      </c>
      <c r="V93" s="1204"/>
      <c r="W93" s="1204"/>
      <c r="X93" s="1204"/>
      <c r="Y93" s="1362"/>
      <c r="Z93" s="1207"/>
      <c r="AA93" s="1210" t="s">
        <v>2182</v>
      </c>
      <c r="AB93" s="1207"/>
      <c r="AC93" s="1207"/>
      <c r="AD93" s="1207"/>
    </row>
    <row customHeight="1" ht="45">
      <c r="A94" s="1206"/>
      <c r="B94" s="1260">
        <v>77</v>
      </c>
      <c r="C94" s="1204"/>
      <c r="D94" s="1329" t="s">
        <v>2176</v>
      </c>
      <c r="E94" s="1204"/>
      <c r="F94" s="1204"/>
      <c r="G94" s="1204"/>
      <c r="H94" s="1252"/>
      <c r="I94" s="1367">
        <f>INDEX(TEMPLATE_NUMBER_POINT_FHD,B94,MATCH(TEMPLATE_SPHERE,TEMPLATE_SPHERE_LIST_FOR_NOTE,0))</f>
        <v>0</v>
      </c>
      <c r="J94" s="1367">
        <f>INDEX(TEMPLATE_DATA_POINT_FHD,B94,MATCH(TEMPLATE_SPHERE,TEMPLATE_SPHERE_LIST_FOR_NOTE,0))</f>
        <v>0</v>
      </c>
      <c r="K94" s="1367">
        <f>INDEX(TEMPLATE_NOTE_POINT_FHD,B94,MATCH(TEMPLATE_SPHERE,TEMPLATE_SPHERE_LIST_FOR_NOTE,0))</f>
        <v>0</v>
      </c>
      <c r="L94" s="1205" t="str">
        <f>IF(I94=0,"",I94)</f>
        <v/>
      </c>
      <c r="M94" s="1205" t="str">
        <f>IF(J94=0,"",J94)</f>
        <v/>
      </c>
      <c r="N94" s="1205" t="str">
        <f>IF(K94=0,"",K94)</f>
        <v/>
      </c>
      <c r="O94" s="1319"/>
      <c r="P94" s="1319" t="s">
        <v>1433</v>
      </c>
      <c r="Q94" s="1319"/>
      <c r="R94" s="1319"/>
      <c r="S94" s="1319"/>
      <c r="T94" s="1204"/>
      <c r="U94" s="1204" t="s">
        <v>2183</v>
      </c>
      <c r="V94" s="1204"/>
      <c r="W94" s="1204"/>
      <c r="X94" s="1204"/>
      <c r="Y94" s="1362"/>
      <c r="Z94" s="1207"/>
      <c r="AA94" s="1210" t="s">
        <v>2184</v>
      </c>
      <c r="AB94" s="1207"/>
      <c r="AC94" s="1207"/>
      <c r="AD94" s="1207"/>
    </row>
    <row customHeight="1" ht="99">
      <c r="A95" s="1206"/>
      <c r="B95" s="1260">
        <v>78</v>
      </c>
      <c r="C95" s="1204" t="s">
        <v>2185</v>
      </c>
      <c r="D95" s="1329"/>
      <c r="E95" s="1204"/>
      <c r="F95" s="1204"/>
      <c r="G95" s="1204"/>
      <c r="H95" s="1252"/>
      <c r="I95" s="1367">
        <f>INDEX(TEMPLATE_NUMBER_POINT_FHD,B95,MATCH(TEMPLATE_SPHERE,TEMPLATE_SPHERE_LIST_FOR_NOTE,0))</f>
        <v>0</v>
      </c>
      <c r="J95" s="1367">
        <f>INDEX(TEMPLATE_DATA_POINT_FHD,B95,MATCH(TEMPLATE_SPHERE,TEMPLATE_SPHERE_LIST_FOR_NOTE,0))</f>
        <v>0</v>
      </c>
      <c r="K95" s="1367">
        <f>INDEX(TEMPLATE_NOTE_POINT_FHD,B95,MATCH(TEMPLATE_SPHERE,TEMPLATE_SPHERE_LIST_FOR_NOTE,0))</f>
        <v>0</v>
      </c>
      <c r="L95" s="1205" t="str">
        <f>IF(I95=0,"",I95)</f>
        <v/>
      </c>
      <c r="M95" s="1205" t="str">
        <f>IF(J95=0,"",J95)</f>
        <v/>
      </c>
      <c r="N95" s="1205" t="str">
        <f>IF(K95=0,"",K95)</f>
        <v/>
      </c>
      <c r="O95" s="1319" t="s">
        <v>1433</v>
      </c>
      <c r="P95" s="1319"/>
      <c r="Q95" s="1319"/>
      <c r="R95" s="1319"/>
      <c r="S95" s="1319"/>
      <c r="T95" s="1204" t="s">
        <v>2186</v>
      </c>
      <c r="U95" s="1204"/>
      <c r="V95" s="1204"/>
      <c r="W95" s="1204"/>
      <c r="X95" s="1204"/>
      <c r="Y95" s="1362"/>
      <c r="Z95" s="1207"/>
      <c r="AA95" s="1210"/>
      <c r="AB95" s="1207"/>
      <c r="AC95" s="1207"/>
      <c r="AD95" s="1207"/>
    </row>
    <row customHeight="1" ht="99">
      <c r="A96" s="1206"/>
      <c r="B96" s="1260">
        <v>79</v>
      </c>
      <c r="C96" s="1204" t="s">
        <v>1120</v>
      </c>
      <c r="D96" s="1329"/>
      <c r="E96" s="1204"/>
      <c r="F96" s="1204"/>
      <c r="G96" s="1204"/>
      <c r="H96" s="1252"/>
      <c r="I96" s="1367">
        <f>INDEX(TEMPLATE_NUMBER_POINT_FHD,B96,MATCH(TEMPLATE_SPHERE,TEMPLATE_SPHERE_LIST_FOR_NOTE,0))</f>
        <v>0</v>
      </c>
      <c r="J96" s="1367">
        <f>INDEX(TEMPLATE_DATA_POINT_FHD,B96,MATCH(TEMPLATE_SPHERE,TEMPLATE_SPHERE_LIST_FOR_NOTE,0))</f>
        <v>0</v>
      </c>
      <c r="K96" s="1367">
        <f>INDEX(TEMPLATE_NOTE_POINT_FHD,B96,MATCH(TEMPLATE_SPHERE,TEMPLATE_SPHERE_LIST_FOR_NOTE,0))</f>
        <v>0</v>
      </c>
      <c r="L96" s="1205" t="str">
        <f>IF(I96=0,"",I96)</f>
        <v/>
      </c>
      <c r="M96" s="1205" t="str">
        <f>IF(J96=0,"",J96)</f>
        <v/>
      </c>
      <c r="N96" s="1205" t="str">
        <f>IF(K96=0,"",K96)</f>
        <v/>
      </c>
      <c r="O96" s="1319" t="s">
        <v>98</v>
      </c>
      <c r="P96" s="1319"/>
      <c r="Q96" s="1319"/>
      <c r="R96" s="1319"/>
      <c r="S96" s="1319"/>
      <c r="T96" s="1204" t="s">
        <v>2187</v>
      </c>
      <c r="U96" s="1204"/>
      <c r="V96" s="1204"/>
      <c r="W96" s="1204"/>
      <c r="X96" s="1204"/>
      <c r="Y96" s="1362"/>
      <c r="Z96" s="1207" t="s">
        <v>2188</v>
      </c>
      <c r="AA96" s="1210"/>
      <c r="AB96" s="1207"/>
      <c r="AC96" s="1207"/>
      <c r="AD96" s="1207"/>
    </row>
    <row customHeight="1" ht="63">
      <c r="A97" s="1206"/>
      <c r="B97" s="1260">
        <v>80</v>
      </c>
      <c r="C97" s="1204" t="s">
        <v>2189</v>
      </c>
      <c r="D97" s="1329"/>
      <c r="E97" s="1204"/>
      <c r="F97" s="1204"/>
      <c r="G97" s="1204"/>
      <c r="H97" s="1252"/>
      <c r="I97" s="1367">
        <f>INDEX(TEMPLATE_NUMBER_POINT_FHD,B97,MATCH(TEMPLATE_SPHERE,TEMPLATE_SPHERE_LIST_FOR_NOTE,0))</f>
        <v>0</v>
      </c>
      <c r="J97" s="1367">
        <f>INDEX(TEMPLATE_DATA_POINT_FHD,B97,MATCH(TEMPLATE_SPHERE,TEMPLATE_SPHERE_LIST_FOR_NOTE,0))</f>
        <v>0</v>
      </c>
      <c r="K97" s="1367">
        <f>INDEX(TEMPLATE_NOTE_POINT_FHD,B97,MATCH(TEMPLATE_SPHERE,TEMPLATE_SPHERE_LIST_FOR_NOTE,0))</f>
        <v>0</v>
      </c>
      <c r="L97" s="1205" t="str">
        <f>IF(I97=0,"",I97)</f>
        <v/>
      </c>
      <c r="M97" s="1205" t="str">
        <f>IF(J97=0,"",J97)</f>
        <v/>
      </c>
      <c r="N97" s="1205" t="str">
        <f>IF(K97=0,"",K97)</f>
        <v/>
      </c>
      <c r="O97" s="1319" t="s">
        <v>1449</v>
      </c>
      <c r="P97" s="1319"/>
      <c r="Q97" s="1319"/>
      <c r="R97" s="1319"/>
      <c r="S97" s="1319"/>
      <c r="T97" s="1204" t="s">
        <v>2190</v>
      </c>
      <c r="U97" s="1204"/>
      <c r="V97" s="1204"/>
      <c r="W97" s="1204"/>
      <c r="X97" s="1204"/>
      <c r="Y97" s="1362"/>
      <c r="Z97" s="1207" t="s">
        <v>2191</v>
      </c>
      <c r="AA97" s="1210"/>
      <c r="AB97" s="1207"/>
      <c r="AC97" s="1207"/>
      <c r="AD97" s="1207"/>
    </row>
    <row customHeight="1" ht="63">
      <c r="A98" s="1206"/>
      <c r="B98" s="1260">
        <v>81</v>
      </c>
      <c r="C98" s="1204" t="s">
        <v>2192</v>
      </c>
      <c r="D98" s="1329"/>
      <c r="E98" s="1204"/>
      <c r="F98" s="1204"/>
      <c r="G98" s="1204"/>
      <c r="H98" s="1252"/>
      <c r="I98" s="1367">
        <f>INDEX(TEMPLATE_NUMBER_POINT_FHD,B98,MATCH(TEMPLATE_SPHERE,TEMPLATE_SPHERE_LIST_FOR_NOTE,0))</f>
        <v>0</v>
      </c>
      <c r="J98" s="1367">
        <f>INDEX(TEMPLATE_DATA_POINT_FHD,B98,MATCH(TEMPLATE_SPHERE,TEMPLATE_SPHERE_LIST_FOR_NOTE,0))</f>
        <v>0</v>
      </c>
      <c r="K98" s="1367">
        <f>INDEX(TEMPLATE_NOTE_POINT_FHD,B98,MATCH(TEMPLATE_SPHERE,TEMPLATE_SPHERE_LIST_FOR_NOTE,0))</f>
        <v>0</v>
      </c>
      <c r="L98" s="1205" t="str">
        <f>IF(I98=0,"",I98)</f>
        <v/>
      </c>
      <c r="M98" s="1205" t="str">
        <f>IF(J98=0,"",J98)</f>
        <v/>
      </c>
      <c r="N98" s="1205" t="str">
        <f>IF(K98=0,"",K98)</f>
        <v/>
      </c>
      <c r="O98" s="1319" t="s">
        <v>1463</v>
      </c>
      <c r="P98" s="1319"/>
      <c r="Q98" s="1319"/>
      <c r="R98" s="1319"/>
      <c r="S98" s="1319"/>
      <c r="T98" s="1204" t="s">
        <v>2193</v>
      </c>
      <c r="U98" s="1204"/>
      <c r="V98" s="1204"/>
      <c r="W98" s="1204"/>
      <c r="X98" s="1204"/>
      <c r="Y98" s="1362"/>
      <c r="Z98" s="1207" t="s">
        <v>2191</v>
      </c>
      <c r="AA98" s="1210"/>
      <c r="AB98" s="1207"/>
      <c r="AC98" s="1207"/>
      <c r="AD98" s="1207"/>
    </row>
    <row customHeight="1" ht="90">
      <c r="A99" s="1206"/>
      <c r="B99" s="1260">
        <v>82</v>
      </c>
      <c r="C99" s="1204" t="s">
        <v>2194</v>
      </c>
      <c r="D99" s="1329"/>
      <c r="E99" s="1204"/>
      <c r="F99" s="1204"/>
      <c r="G99" s="1204"/>
      <c r="H99" s="1252"/>
      <c r="I99" s="1367">
        <f>INDEX(TEMPLATE_NUMBER_POINT_FHD,B99,MATCH(TEMPLATE_SPHERE,TEMPLATE_SPHERE_LIST_FOR_NOTE,0))</f>
        <v>0</v>
      </c>
      <c r="J99" s="1367">
        <f>INDEX(TEMPLATE_DATA_POINT_FHD,B99,MATCH(TEMPLATE_SPHERE,TEMPLATE_SPHERE_LIST_FOR_NOTE,0))</f>
        <v>0</v>
      </c>
      <c r="K99" s="1367">
        <f>INDEX(TEMPLATE_NOTE_POINT_FHD,B99,MATCH(TEMPLATE_SPHERE,TEMPLATE_SPHERE_LIST_FOR_NOTE,0))</f>
        <v>0</v>
      </c>
      <c r="L99" s="1205" t="str">
        <f>IF(I99=0,"",I99)</f>
        <v/>
      </c>
      <c r="M99" s="1205" t="str">
        <f>IF(J99=0,"",J99)</f>
        <v/>
      </c>
      <c r="N99" s="1205" t="str">
        <f>IF(K99=0,"",K99)</f>
        <v/>
      </c>
      <c r="O99" s="1319" t="s">
        <v>1475</v>
      </c>
      <c r="P99" s="1319"/>
      <c r="Q99" s="1319"/>
      <c r="R99" s="1319"/>
      <c r="S99" s="1319"/>
      <c r="T99" s="1204" t="s">
        <v>2195</v>
      </c>
      <c r="U99" s="1204"/>
      <c r="V99" s="1204"/>
      <c r="W99" s="1204"/>
      <c r="X99" s="1204"/>
      <c r="Y99" s="1362"/>
      <c r="Z99" s="1207" t="s">
        <v>847</v>
      </c>
      <c r="AA99" s="1210"/>
      <c r="AB99" s="1207"/>
      <c r="AC99" s="1207"/>
      <c r="AD99" s="1207"/>
    </row>
    <row customHeight="1" ht="27">
      <c r="A100" s="1206"/>
      <c r="B100" s="1260">
        <v>83</v>
      </c>
      <c r="C100" s="1204"/>
      <c r="D100" s="1329"/>
      <c r="E100" s="1204"/>
      <c r="F100" s="1204"/>
      <c r="G100" s="1204"/>
      <c r="H100" s="1252"/>
      <c r="I100" s="1367">
        <f>INDEX(TEMPLATE_NUMBER_POINT_FHD,B100,MATCH(TEMPLATE_SPHERE,TEMPLATE_SPHERE_LIST_FOR_NOTE,0))</f>
        <v>0</v>
      </c>
      <c r="J100" s="1367">
        <f>INDEX(TEMPLATE_DATA_POINT_FHD,B100,MATCH(TEMPLATE_SPHERE,TEMPLATE_SPHERE_LIST_FOR_NOTE,0))</f>
        <v>0</v>
      </c>
      <c r="K100" s="1367">
        <f>INDEX(TEMPLATE_NOTE_POINT_FHD,B100,MATCH(TEMPLATE_SPHERE,TEMPLATE_SPHERE_LIST_FOR_NOTE,0))</f>
        <v>0</v>
      </c>
      <c r="L100" s="1205" t="str">
        <f>IF(I100=0,"",I100)</f>
        <v/>
      </c>
      <c r="M100" s="1205" t="str">
        <f>IF(J100=0,"",J100)</f>
        <v/>
      </c>
      <c r="N100" s="1205" t="str">
        <f>IF(K100=0,"",K100)</f>
        <v/>
      </c>
      <c r="O100" s="1319" t="s">
        <v>2196</v>
      </c>
      <c r="P100" s="1319"/>
      <c r="Q100" s="1319"/>
      <c r="R100" s="1319"/>
      <c r="S100" s="1319"/>
      <c r="T100" s="1204" t="s">
        <v>2197</v>
      </c>
      <c r="U100" s="1204"/>
      <c r="V100" s="1204"/>
      <c r="W100" s="1204"/>
      <c r="X100" s="1204"/>
      <c r="Y100" s="1362"/>
      <c r="Z100" s="1207" t="s">
        <v>847</v>
      </c>
      <c r="AA100" s="1210"/>
      <c r="AB100" s="1207"/>
      <c r="AC100" s="1207"/>
      <c r="AD100" s="1207"/>
    </row>
    <row customHeight="1" ht="27">
      <c r="A101" s="1206"/>
      <c r="B101" s="1260">
        <v>84</v>
      </c>
      <c r="C101" s="1204"/>
      <c r="D101" s="1329"/>
      <c r="E101" s="1204"/>
      <c r="F101" s="1204"/>
      <c r="G101" s="1204"/>
      <c r="H101" s="1252"/>
      <c r="I101" s="1367">
        <f>INDEX(TEMPLATE_NUMBER_POINT_FHD,B101,MATCH(TEMPLATE_SPHERE,TEMPLATE_SPHERE_LIST_FOR_NOTE,0))</f>
        <v>0</v>
      </c>
      <c r="J101" s="1367">
        <f>INDEX(TEMPLATE_DATA_POINT_FHD,B101,MATCH(TEMPLATE_SPHERE,TEMPLATE_SPHERE_LIST_FOR_NOTE,0))</f>
        <v>0</v>
      </c>
      <c r="K101" s="1367">
        <f>INDEX(TEMPLATE_NOTE_POINT_FHD,B101,MATCH(TEMPLATE_SPHERE,TEMPLATE_SPHERE_LIST_FOR_NOTE,0))</f>
        <v>0</v>
      </c>
      <c r="L101" s="1205" t="str">
        <f>IF(I101=0,"",I101)</f>
        <v/>
      </c>
      <c r="M101" s="1205" t="str">
        <f>IF(J101=0,"",J101)</f>
        <v/>
      </c>
      <c r="N101" s="1205" t="str">
        <f>IF(K101=0,"",K101)</f>
        <v/>
      </c>
      <c r="O101" s="1319" t="s">
        <v>2198</v>
      </c>
      <c r="P101" s="1319"/>
      <c r="Q101" s="1319"/>
      <c r="R101" s="1319"/>
      <c r="S101" s="1319"/>
      <c r="T101" s="1204" t="s">
        <v>2199</v>
      </c>
      <c r="U101" s="1204"/>
      <c r="V101" s="1204"/>
      <c r="W101" s="1204"/>
      <c r="X101" s="1204"/>
      <c r="Y101" s="1362"/>
      <c r="Z101" s="1207" t="s">
        <v>847</v>
      </c>
      <c r="AA101" s="1210"/>
      <c r="AB101" s="1207"/>
      <c r="AC101" s="1207"/>
      <c r="AD101" s="1207"/>
    </row>
    <row customHeight="1" ht="9">
      <c r="A102" s="1206"/>
      <c r="B102" s="1206"/>
      <c r="C102" s="1204"/>
      <c r="D102" s="1204"/>
      <c r="E102" s="1204"/>
      <c r="F102" s="1204"/>
      <c r="G102" s="1204"/>
      <c r="H102" s="1252"/>
      <c r="I102" s="1252"/>
      <c r="J102" s="1252"/>
      <c r="K102" s="1252"/>
      <c r="L102" s="1252"/>
      <c r="M102" s="1204"/>
      <c r="N102" s="1251"/>
      <c r="O102" s="1319"/>
      <c r="P102" s="1319"/>
      <c r="Q102" s="1319"/>
      <c r="R102" s="1319"/>
      <c r="S102" s="1204"/>
      <c r="T102" s="1204"/>
      <c r="U102" s="1204"/>
      <c r="V102" s="1204"/>
      <c r="W102" s="1204"/>
      <c r="X102" s="1204"/>
      <c r="Y102" s="1362"/>
      <c r="Z102" s="1207"/>
      <c r="AA102" s="1210"/>
      <c r="AB102" s="1207"/>
      <c r="AC102" s="1207"/>
      <c r="AD102" s="1207"/>
    </row>
    <row customHeight="1" ht="9">
      <c r="A103" s="1206"/>
      <c r="B103" s="1206"/>
      <c r="C103" s="1204"/>
      <c r="D103" s="1204"/>
      <c r="E103" s="1204"/>
      <c r="F103" s="1204"/>
      <c r="G103" s="1204"/>
      <c r="H103" s="1252"/>
      <c r="I103" s="1252"/>
      <c r="J103" s="1252"/>
      <c r="K103" s="1252"/>
      <c r="L103" s="1252"/>
      <c r="M103" s="1204"/>
      <c r="N103" s="1251"/>
      <c r="O103" s="1319"/>
      <c r="P103" s="1319"/>
      <c r="Q103" s="1319"/>
      <c r="R103" s="1319"/>
      <c r="S103" s="1204"/>
      <c r="T103" s="1204"/>
      <c r="U103" s="1204"/>
      <c r="V103" s="1204"/>
      <c r="W103" s="1204"/>
      <c r="X103" s="1204"/>
      <c r="Y103" s="1362"/>
      <c r="Z103" s="1207"/>
      <c r="AA103" s="1210"/>
      <c r="AB103" s="1207"/>
      <c r="AC103" s="1207"/>
      <c r="AD103" s="1207"/>
    </row>
    <row customHeight="1" ht="9">
      <c r="A104" s="1206"/>
      <c r="B104" s="1206"/>
      <c r="C104" s="1204"/>
      <c r="D104" s="1204"/>
      <c r="E104" s="1204"/>
      <c r="F104" s="1204"/>
      <c r="G104" s="1204"/>
      <c r="H104" s="1252"/>
      <c r="I104" s="1252"/>
      <c r="J104" s="1252"/>
      <c r="K104" s="1252"/>
      <c r="L104" s="1252"/>
      <c r="M104" s="1204"/>
      <c r="N104" s="1251"/>
      <c r="O104" s="1319"/>
      <c r="P104" s="1319"/>
      <c r="Q104" s="1319"/>
      <c r="R104" s="1319"/>
      <c r="S104" s="1204"/>
      <c r="T104" s="1204"/>
      <c r="U104" s="1204"/>
      <c r="V104" s="1204"/>
      <c r="W104" s="1204"/>
      <c r="X104" s="1204"/>
      <c r="Y104" s="1362"/>
      <c r="Z104" s="1207"/>
      <c r="AA104" s="1210"/>
      <c r="AB104" s="1207"/>
      <c r="AC104" s="1207"/>
      <c r="AD104" s="1207"/>
    </row>
    <row customHeight="1" ht="9">
      <c r="A105" s="1206"/>
      <c r="B105" s="1206"/>
      <c r="C105" s="1204"/>
      <c r="D105" s="1204"/>
      <c r="E105" s="1204"/>
      <c r="F105" s="1204"/>
      <c r="G105" s="1204"/>
      <c r="H105" s="1252"/>
      <c r="I105" s="1252"/>
      <c r="J105" s="1252"/>
      <c r="K105" s="1252"/>
      <c r="L105" s="1252"/>
      <c r="M105" s="1204"/>
      <c r="N105" s="1251"/>
      <c r="O105" s="1319"/>
      <c r="P105" s="1319"/>
      <c r="Q105" s="1319"/>
      <c r="R105" s="1319"/>
      <c r="S105" s="1204"/>
      <c r="T105" s="1204"/>
      <c r="U105" s="1204"/>
      <c r="V105" s="1204"/>
      <c r="W105" s="1204"/>
      <c r="X105" s="1204"/>
      <c r="Y105" s="1362"/>
      <c r="Z105" s="1207"/>
      <c r="AA105" s="1210"/>
      <c r="AB105" s="1207"/>
      <c r="AC105" s="1207"/>
      <c r="AD105" s="1207"/>
    </row>
    <row customHeight="1" ht="9">
      <c r="A106" s="1206"/>
      <c r="B106" s="1206"/>
      <c r="C106" s="1204"/>
      <c r="D106" s="1204"/>
      <c r="E106" s="1204"/>
      <c r="F106" s="1204"/>
      <c r="G106" s="1204"/>
      <c r="H106" s="1252"/>
      <c r="I106" s="1252"/>
      <c r="J106" s="1252"/>
      <c r="K106" s="1252"/>
      <c r="L106" s="1252"/>
      <c r="M106" s="1204"/>
      <c r="N106" s="1251"/>
      <c r="O106" s="1319"/>
      <c r="P106" s="1319"/>
      <c r="Q106" s="1319"/>
      <c r="R106" s="1319"/>
      <c r="S106" s="1204"/>
      <c r="T106" s="1204"/>
      <c r="U106" s="1204"/>
      <c r="V106" s="1204"/>
      <c r="W106" s="1204"/>
      <c r="X106" s="1204"/>
      <c r="Y106" s="1362"/>
      <c r="Z106" s="1207"/>
      <c r="AA106" s="1210"/>
      <c r="AB106" s="1207"/>
      <c r="AC106" s="1207"/>
      <c r="AD106" s="1207"/>
    </row>
    <row customHeight="1" ht="9">
      <c r="A107" s="1206"/>
      <c r="B107" s="1206"/>
      <c r="C107" s="1204"/>
      <c r="D107" s="1204"/>
      <c r="E107" s="1204"/>
      <c r="F107" s="1204"/>
      <c r="G107" s="1204"/>
      <c r="H107" s="1252"/>
      <c r="I107" s="1252"/>
      <c r="J107" s="1252"/>
      <c r="K107" s="1252"/>
      <c r="L107" s="1252"/>
      <c r="M107" s="1204"/>
      <c r="N107" s="1251"/>
      <c r="O107" s="1319"/>
      <c r="P107" s="1319"/>
      <c r="Q107" s="1319"/>
      <c r="R107" s="1319"/>
      <c r="S107" s="1204"/>
      <c r="T107" s="1204"/>
      <c r="U107" s="1204"/>
      <c r="V107" s="1204"/>
      <c r="W107" s="1204"/>
      <c r="X107" s="1204"/>
      <c r="Y107" s="1362"/>
      <c r="Z107" s="1207"/>
      <c r="AA107" s="1210"/>
      <c r="AB107" s="1207"/>
      <c r="AC107" s="1207"/>
      <c r="AD107" s="1207"/>
    </row>
    <row customHeight="1" ht="9">
      <c r="A108" s="1206"/>
      <c r="B108" s="1206"/>
      <c r="C108" s="1204"/>
      <c r="D108" s="1204"/>
      <c r="E108" s="1204"/>
      <c r="F108" s="1204"/>
      <c r="G108" s="1204"/>
      <c r="H108" s="1252"/>
      <c r="I108" s="1252"/>
      <c r="J108" s="1252"/>
      <c r="K108" s="1252"/>
      <c r="L108" s="1252"/>
      <c r="M108" s="1204"/>
      <c r="N108" s="1251"/>
      <c r="O108" s="1319"/>
      <c r="P108" s="1319"/>
      <c r="Q108" s="1319"/>
      <c r="R108" s="1319"/>
      <c r="S108" s="1204"/>
      <c r="T108" s="1204"/>
      <c r="U108" s="1204"/>
      <c r="V108" s="1204"/>
      <c r="W108" s="1204"/>
      <c r="X108" s="1204"/>
      <c r="Y108" s="1362"/>
      <c r="Z108" s="1207"/>
      <c r="AA108" s="1210"/>
      <c r="AB108" s="1207"/>
      <c r="AC108" s="1207"/>
      <c r="AD108" s="1207"/>
    </row>
    <row customHeight="1" ht="9">
      <c r="A109" s="1206"/>
      <c r="B109" s="1206"/>
      <c r="C109" s="1204"/>
      <c r="D109" s="1204"/>
      <c r="E109" s="1204"/>
      <c r="F109" s="1204"/>
      <c r="G109" s="1204"/>
      <c r="H109" s="1252"/>
      <c r="I109" s="1252"/>
      <c r="J109" s="1252"/>
      <c r="K109" s="1252"/>
      <c r="L109" s="1252"/>
      <c r="M109" s="1204"/>
      <c r="N109" s="1251"/>
      <c r="O109" s="1319"/>
      <c r="P109" s="1319"/>
      <c r="Q109" s="1319"/>
      <c r="R109" s="1319"/>
      <c r="S109" s="1204"/>
      <c r="T109" s="1204"/>
      <c r="U109" s="1204"/>
      <c r="V109" s="1204"/>
      <c r="W109" s="1204"/>
      <c r="X109" s="1204"/>
      <c r="Y109" s="1362"/>
      <c r="Z109" s="1207"/>
      <c r="AA109" s="1210"/>
      <c r="AB109" s="1207"/>
      <c r="AC109" s="1207"/>
      <c r="AD109" s="1207"/>
    </row>
    <row customHeight="1" ht="9">
      <c r="A110" s="1206"/>
      <c r="B110" s="1206"/>
      <c r="C110" s="1204"/>
      <c r="D110" s="1204"/>
      <c r="E110" s="1204"/>
      <c r="F110" s="1204"/>
      <c r="G110" s="1204"/>
      <c r="H110" s="1252"/>
      <c r="I110" s="1252"/>
      <c r="J110" s="1252"/>
      <c r="K110" s="1252"/>
      <c r="L110" s="1252"/>
      <c r="M110" s="1204"/>
      <c r="N110" s="1251"/>
      <c r="O110" s="1319"/>
      <c r="P110" s="1319"/>
      <c r="Q110" s="1319"/>
      <c r="R110" s="1319"/>
      <c r="S110" s="1204"/>
      <c r="T110" s="1204"/>
      <c r="U110" s="1204"/>
      <c r="V110" s="1204"/>
      <c r="W110" s="1204"/>
      <c r="X110" s="1204"/>
      <c r="Y110" s="1362"/>
      <c r="Z110" s="1207"/>
      <c r="AA110" s="1210"/>
      <c r="AB110" s="1207"/>
      <c r="AC110" s="1207"/>
      <c r="AD110" s="1207"/>
    </row>
    <row customHeight="1" ht="9">
      <c r="A111" s="1206"/>
      <c r="B111" s="1206"/>
      <c r="C111" s="1204"/>
      <c r="D111" s="1204"/>
      <c r="E111" s="1204"/>
      <c r="F111" s="1204"/>
      <c r="G111" s="1204"/>
      <c r="H111" s="1252"/>
      <c r="I111" s="1252"/>
      <c r="J111" s="1252"/>
      <c r="K111" s="1252"/>
      <c r="L111" s="1252"/>
      <c r="M111" s="1204"/>
      <c r="N111" s="1251"/>
      <c r="O111" s="1319"/>
      <c r="P111" s="1319"/>
      <c r="Q111" s="1319"/>
      <c r="R111" s="1319"/>
      <c r="S111" s="1204"/>
      <c r="T111" s="1204"/>
      <c r="U111" s="1204"/>
      <c r="V111" s="1204"/>
      <c r="W111" s="1204"/>
      <c r="X111" s="1204"/>
      <c r="Y111" s="1362"/>
      <c r="Z111" s="1207"/>
      <c r="AA111" s="1210"/>
      <c r="AB111" s="1207"/>
      <c r="AC111" s="1207"/>
      <c r="AD111" s="1207"/>
    </row>
    <row customHeight="1" ht="9">
      <c r="A112" s="1206"/>
      <c r="B112" s="1206"/>
      <c r="C112" s="1204"/>
      <c r="D112" s="1204"/>
      <c r="E112" s="1204"/>
      <c r="F112" s="1204"/>
      <c r="G112" s="1204"/>
      <c r="H112" s="1252"/>
      <c r="I112" s="1252"/>
      <c r="J112" s="1252"/>
      <c r="K112" s="1252"/>
      <c r="L112" s="1252"/>
      <c r="M112" s="1204"/>
      <c r="N112" s="1251"/>
      <c r="O112" s="1319"/>
      <c r="P112" s="1319"/>
      <c r="Q112" s="1319"/>
      <c r="R112" s="1319"/>
      <c r="S112" s="1204"/>
      <c r="T112" s="1204"/>
      <c r="U112" s="1204"/>
      <c r="V112" s="1204"/>
      <c r="W112" s="1204"/>
      <c r="X112" s="1204"/>
      <c r="Y112" s="1362"/>
      <c r="Z112" s="1207"/>
      <c r="AA112" s="1210"/>
      <c r="AB112" s="1207"/>
      <c r="AC112" s="1207"/>
      <c r="AD112" s="1207"/>
    </row>
    <row customHeight="1" ht="9">
      <c r="A113" s="1206"/>
      <c r="B113" s="1206"/>
      <c r="C113" s="1204"/>
      <c r="D113" s="1204"/>
      <c r="E113" s="1204"/>
      <c r="F113" s="1204"/>
      <c r="G113" s="1204"/>
      <c r="H113" s="1252"/>
      <c r="I113" s="1252"/>
      <c r="J113" s="1252"/>
      <c r="K113" s="1252"/>
      <c r="L113" s="1252"/>
      <c r="M113" s="1204"/>
      <c r="N113" s="1251"/>
      <c r="O113" s="1319"/>
      <c r="P113" s="1319"/>
      <c r="Q113" s="1319"/>
      <c r="R113" s="1319"/>
      <c r="S113" s="1204"/>
      <c r="T113" s="1204"/>
      <c r="U113" s="1204"/>
      <c r="V113" s="1204"/>
      <c r="W113" s="1204"/>
      <c r="X113" s="1204"/>
      <c r="Y113" s="1362"/>
      <c r="Z113" s="1207"/>
      <c r="AA113" s="1210"/>
      <c r="AB113" s="1207"/>
      <c r="AC113" s="1207"/>
      <c r="AD113" s="1207"/>
    </row>
    <row customHeight="1" ht="9">
      <c r="A114" s="1206"/>
      <c r="B114" s="1206"/>
      <c r="C114" s="1204"/>
      <c r="D114" s="1204"/>
      <c r="E114" s="1204"/>
      <c r="F114" s="1204"/>
      <c r="G114" s="1204"/>
      <c r="H114" s="1252"/>
      <c r="I114" s="1252"/>
      <c r="J114" s="1252"/>
      <c r="K114" s="1252"/>
      <c r="L114" s="1252"/>
      <c r="M114" s="1204"/>
      <c r="N114" s="1251"/>
      <c r="O114" s="1319"/>
      <c r="P114" s="1319"/>
      <c r="Q114" s="1319"/>
      <c r="R114" s="1319"/>
      <c r="S114" s="1204"/>
      <c r="T114" s="1204"/>
      <c r="U114" s="1204"/>
      <c r="V114" s="1204"/>
      <c r="W114" s="1204"/>
      <c r="X114" s="1204"/>
      <c r="Y114" s="1362"/>
      <c r="Z114" s="1207"/>
      <c r="AA114" s="1210"/>
      <c r="AB114" s="1207"/>
      <c r="AC114" s="1207"/>
      <c r="AD114" s="1207"/>
    </row>
    <row customHeight="1" ht="9">
      <c r="A115" s="1206"/>
      <c r="B115" s="1206"/>
      <c r="C115" s="1204"/>
      <c r="D115" s="1204"/>
      <c r="E115" s="1204"/>
      <c r="F115" s="1204"/>
      <c r="G115" s="1204"/>
      <c r="H115" s="1252"/>
      <c r="I115" s="1252"/>
      <c r="J115" s="1252"/>
      <c r="K115" s="1252"/>
      <c r="L115" s="1252"/>
      <c r="M115" s="1204"/>
      <c r="N115" s="1251"/>
      <c r="O115" s="1319"/>
      <c r="P115" s="1319"/>
      <c r="Q115" s="1319"/>
      <c r="R115" s="1319"/>
      <c r="S115" s="1204"/>
      <c r="T115" s="1204"/>
      <c r="U115" s="1204"/>
      <c r="V115" s="1204"/>
      <c r="W115" s="1204"/>
      <c r="X115" s="1204"/>
      <c r="Y115" s="1362"/>
      <c r="Z115" s="1207"/>
      <c r="AA115" s="1210"/>
      <c r="AB115" s="1207"/>
      <c r="AC115" s="1207"/>
      <c r="AD115" s="1207"/>
    </row>
    <row customHeight="1" ht="9">
      <c r="A116" s="1206"/>
      <c r="B116" s="1206"/>
      <c r="C116" s="1204"/>
      <c r="D116" s="1204"/>
      <c r="E116" s="1204"/>
      <c r="F116" s="1204"/>
      <c r="G116" s="1204"/>
      <c r="H116" s="1252"/>
      <c r="I116" s="1252"/>
      <c r="J116" s="1252"/>
      <c r="K116" s="1252"/>
      <c r="L116" s="1252"/>
      <c r="M116" s="1204"/>
      <c r="N116" s="1251"/>
      <c r="O116" s="1319"/>
      <c r="P116" s="1319"/>
      <c r="Q116" s="1319"/>
      <c r="R116" s="1319"/>
      <c r="S116" s="1204"/>
      <c r="T116" s="1204"/>
      <c r="U116" s="1204"/>
      <c r="V116" s="1204"/>
      <c r="W116" s="1204"/>
      <c r="X116" s="1204"/>
      <c r="Y116" s="1362"/>
      <c r="Z116" s="1207"/>
      <c r="AA116" s="1210"/>
      <c r="AB116" s="1207"/>
      <c r="AC116" s="1207"/>
      <c r="AD116" s="1207"/>
    </row>
    <row customHeight="1" ht="9">
      <c r="A117" s="1206"/>
      <c r="B117" s="1206"/>
      <c r="C117" s="1204"/>
      <c r="D117" s="1204"/>
      <c r="E117" s="1204"/>
      <c r="F117" s="1204"/>
      <c r="G117" s="1204"/>
      <c r="H117" s="1252"/>
      <c r="I117" s="1252"/>
      <c r="J117" s="1252"/>
      <c r="K117" s="1252"/>
      <c r="L117" s="1252"/>
      <c r="M117" s="1204"/>
      <c r="N117" s="1251"/>
      <c r="O117" s="1319"/>
      <c r="P117" s="1319"/>
      <c r="Q117" s="1319"/>
      <c r="R117" s="1319"/>
      <c r="S117" s="1204"/>
      <c r="T117" s="1204"/>
      <c r="U117" s="1204"/>
      <c r="V117" s="1204"/>
      <c r="W117" s="1204"/>
      <c r="X117" s="1204"/>
      <c r="Y117" s="1362"/>
      <c r="Z117" s="1207"/>
      <c r="AA117" s="1210"/>
      <c r="AB117" s="1207"/>
      <c r="AC117" s="1207"/>
      <c r="AD117" s="1207"/>
    </row>
    <row customHeight="1" ht="9">
      <c r="A118" s="1206"/>
      <c r="B118" s="1206"/>
      <c r="C118" s="1204"/>
      <c r="D118" s="1204"/>
      <c r="E118" s="1204"/>
      <c r="F118" s="1204"/>
      <c r="G118" s="1204"/>
      <c r="H118" s="1252"/>
      <c r="I118" s="1252"/>
      <c r="J118" s="1252"/>
      <c r="K118" s="1252"/>
      <c r="L118" s="1252"/>
      <c r="M118" s="1204"/>
      <c r="N118" s="1251"/>
      <c r="O118" s="1319"/>
      <c r="P118" s="1319"/>
      <c r="Q118" s="1319"/>
      <c r="R118" s="1319"/>
      <c r="S118" s="1204"/>
      <c r="T118" s="1204"/>
      <c r="U118" s="1204"/>
      <c r="V118" s="1204"/>
      <c r="W118" s="1204"/>
      <c r="X118" s="1204"/>
      <c r="Y118" s="1362"/>
      <c r="Z118" s="1207"/>
      <c r="AA118" s="1210"/>
      <c r="AB118" s="1207"/>
      <c r="AC118" s="1207"/>
      <c r="AD118" s="1207"/>
    </row>
    <row customHeight="1" ht="9">
      <c r="A119" s="1206"/>
      <c r="B119" s="1206"/>
      <c r="C119" s="1204"/>
      <c r="D119" s="1204"/>
      <c r="E119" s="1204"/>
      <c r="F119" s="1204"/>
      <c r="G119" s="1204"/>
      <c r="H119" s="1252"/>
      <c r="I119" s="1252"/>
      <c r="J119" s="1252"/>
      <c r="K119" s="1252"/>
      <c r="L119" s="1252"/>
      <c r="M119" s="1204"/>
      <c r="N119" s="1251"/>
      <c r="O119" s="1319"/>
      <c r="P119" s="1319"/>
      <c r="Q119" s="1319"/>
      <c r="R119" s="1319"/>
      <c r="S119" s="1204"/>
      <c r="T119" s="1204"/>
      <c r="U119" s="1204"/>
      <c r="V119" s="1204"/>
      <c r="W119" s="1204"/>
      <c r="X119" s="1204"/>
      <c r="Y119" s="1362"/>
      <c r="Z119" s="1207"/>
      <c r="AA119" s="1210"/>
      <c r="AB119" s="1207"/>
      <c r="AC119" s="1207"/>
      <c r="AD119" s="1207"/>
    </row>
    <row customHeight="1" ht="9">
      <c r="A120" s="1206"/>
      <c r="B120" s="1206"/>
      <c r="C120" s="1204"/>
      <c r="D120" s="1204"/>
      <c r="E120" s="1204"/>
      <c r="F120" s="1204"/>
      <c r="G120" s="1204"/>
      <c r="H120" s="1252"/>
      <c r="I120" s="1252"/>
      <c r="J120" s="1252"/>
      <c r="K120" s="1252"/>
      <c r="L120" s="1252"/>
      <c r="M120" s="1204"/>
      <c r="N120" s="1251"/>
      <c r="O120" s="1319"/>
      <c r="P120" s="1319"/>
      <c r="Q120" s="1319"/>
      <c r="R120" s="1319"/>
      <c r="S120" s="1204"/>
      <c r="T120" s="1204"/>
      <c r="U120" s="1204"/>
      <c r="V120" s="1204"/>
      <c r="W120" s="1204"/>
      <c r="X120" s="1204"/>
      <c r="Y120" s="1362"/>
      <c r="Z120" s="1207"/>
      <c r="AA120" s="1210"/>
      <c r="AB120" s="1207"/>
      <c r="AC120" s="1207"/>
      <c r="AD120" s="1207"/>
    </row>
    <row customHeight="1" ht="9">
      <c r="A121" s="1206"/>
      <c r="B121" s="1206"/>
      <c r="C121" s="1204"/>
      <c r="D121" s="1204"/>
      <c r="E121" s="1204"/>
      <c r="F121" s="1204"/>
      <c r="G121" s="1204"/>
      <c r="H121" s="1252"/>
      <c r="I121" s="1252"/>
      <c r="J121" s="1252"/>
      <c r="K121" s="1252"/>
      <c r="L121" s="1252"/>
      <c r="M121" s="1204"/>
      <c r="N121" s="1251"/>
      <c r="O121" s="1319"/>
      <c r="P121" s="1319"/>
      <c r="Q121" s="1319"/>
      <c r="R121" s="1319"/>
      <c r="S121" s="1204"/>
      <c r="T121" s="1204"/>
      <c r="U121" s="1204"/>
      <c r="V121" s="1204"/>
      <c r="W121" s="1204"/>
      <c r="X121" s="1204"/>
      <c r="Y121" s="1362"/>
      <c r="Z121" s="1207"/>
      <c r="AA121" s="1210"/>
      <c r="AB121" s="1207"/>
      <c r="AC121" s="1207"/>
      <c r="AD121" s="1207"/>
    </row>
    <row customHeight="1" ht="9">
      <c r="A122" s="1206"/>
      <c r="B122" s="1206"/>
      <c r="C122" s="1204"/>
      <c r="D122" s="1204"/>
      <c r="E122" s="1204"/>
      <c r="F122" s="1204"/>
      <c r="G122" s="1204"/>
      <c r="H122" s="1252"/>
      <c r="I122" s="1252"/>
      <c r="J122" s="1252"/>
      <c r="K122" s="1252"/>
      <c r="L122" s="1252"/>
      <c r="M122" s="1204"/>
      <c r="N122" s="1251"/>
      <c r="O122" s="1319"/>
      <c r="P122" s="1319"/>
      <c r="Q122" s="1319"/>
      <c r="R122" s="1319"/>
      <c r="S122" s="1204"/>
      <c r="T122" s="1204"/>
      <c r="U122" s="1204"/>
      <c r="V122" s="1204"/>
      <c r="W122" s="1204"/>
      <c r="X122" s="1204"/>
      <c r="Y122" s="1362"/>
      <c r="Z122" s="1207"/>
      <c r="AA122" s="1210"/>
      <c r="AB122" s="1207"/>
      <c r="AC122" s="1207"/>
      <c r="AD122" s="1207"/>
    </row>
    <row customHeight="1" ht="9">
      <c r="A123" s="1206"/>
      <c r="B123" s="1206"/>
      <c r="C123" s="1204"/>
      <c r="D123" s="1204"/>
      <c r="E123" s="1204"/>
      <c r="F123" s="1204"/>
      <c r="G123" s="1204"/>
      <c r="H123" s="1252"/>
      <c r="I123" s="1252"/>
      <c r="J123" s="1252"/>
      <c r="K123" s="1252"/>
      <c r="L123" s="1252"/>
      <c r="M123" s="1204"/>
      <c r="N123" s="1251"/>
      <c r="O123" s="1319"/>
      <c r="P123" s="1319"/>
      <c r="Q123" s="1319"/>
      <c r="R123" s="1319"/>
      <c r="S123" s="1204"/>
      <c r="T123" s="1204"/>
      <c r="U123" s="1204"/>
      <c r="V123" s="1204"/>
      <c r="W123" s="1204"/>
      <c r="X123" s="1204"/>
      <c r="Y123" s="1362"/>
      <c r="Z123" s="1207"/>
      <c r="AA123" s="1210"/>
      <c r="AB123" s="1207"/>
      <c r="AC123" s="1207"/>
      <c r="AD123" s="1207"/>
    </row>
    <row customHeight="1" ht="9">
      <c r="A124" s="1206"/>
      <c r="B124" s="1206"/>
      <c r="C124" s="1204"/>
      <c r="D124" s="1204"/>
      <c r="E124" s="1204"/>
      <c r="F124" s="1204"/>
      <c r="G124" s="1204"/>
      <c r="H124" s="1252"/>
      <c r="I124" s="1252"/>
      <c r="J124" s="1252"/>
      <c r="K124" s="1252"/>
      <c r="L124" s="1252"/>
      <c r="M124" s="1204"/>
      <c r="N124" s="1251"/>
      <c r="O124" s="1319"/>
      <c r="P124" s="1319"/>
      <c r="Q124" s="1319"/>
      <c r="R124" s="1319"/>
      <c r="S124" s="1204"/>
      <c r="T124" s="1204"/>
      <c r="U124" s="1204"/>
      <c r="V124" s="1204"/>
      <c r="W124" s="1204"/>
      <c r="X124" s="1204"/>
      <c r="Y124" s="1362"/>
      <c r="Z124" s="1207"/>
      <c r="AA124" s="1210"/>
      <c r="AB124" s="1207"/>
      <c r="AC124" s="1207"/>
      <c r="AD124" s="1207"/>
    </row>
    <row customHeight="1" ht="9">
      <c r="A125" s="1206"/>
      <c r="B125" s="1206"/>
      <c r="C125" s="1204"/>
      <c r="D125" s="1204"/>
      <c r="E125" s="1204"/>
      <c r="F125" s="1204"/>
      <c r="G125" s="1204"/>
      <c r="H125" s="1252"/>
      <c r="I125" s="1252"/>
      <c r="J125" s="1252"/>
      <c r="K125" s="1252"/>
      <c r="L125" s="1252"/>
      <c r="M125" s="1204"/>
      <c r="N125" s="1251"/>
      <c r="O125" s="1319"/>
      <c r="P125" s="1319"/>
      <c r="Q125" s="1319"/>
      <c r="R125" s="1319"/>
      <c r="S125" s="1204"/>
      <c r="T125" s="1204"/>
      <c r="U125" s="1204"/>
      <c r="V125" s="1204"/>
      <c r="W125" s="1204"/>
      <c r="X125" s="1204"/>
      <c r="Y125" s="1362"/>
      <c r="Z125" s="1207"/>
      <c r="AA125" s="1210"/>
      <c r="AB125" s="1207"/>
      <c r="AC125" s="1207"/>
      <c r="AD125" s="1207"/>
    </row>
    <row customHeight="1" ht="9">
      <c r="A126" s="1206"/>
      <c r="B126" s="1206"/>
      <c r="C126" s="1204"/>
      <c r="D126" s="1204"/>
      <c r="E126" s="1204"/>
      <c r="F126" s="1204"/>
      <c r="G126" s="1204"/>
      <c r="H126" s="1252"/>
      <c r="I126" s="1252"/>
      <c r="J126" s="1252"/>
      <c r="K126" s="1252"/>
      <c r="L126" s="1252"/>
      <c r="M126" s="1204"/>
      <c r="N126" s="1251"/>
      <c r="O126" s="1319"/>
      <c r="P126" s="1319"/>
      <c r="Q126" s="1319"/>
      <c r="R126" s="1319"/>
      <c r="S126" s="1204"/>
      <c r="T126" s="1204"/>
      <c r="U126" s="1204"/>
      <c r="V126" s="1204"/>
      <c r="W126" s="1204"/>
      <c r="X126" s="1204"/>
      <c r="Y126" s="1362"/>
      <c r="Z126" s="1207"/>
      <c r="AA126" s="1210"/>
      <c r="AB126" s="1207"/>
      <c r="AC126" s="1207"/>
      <c r="AD126" s="1207"/>
    </row>
    <row customHeight="1" ht="9">
      <c r="A127" s="1206"/>
      <c r="B127" s="1206"/>
      <c r="C127" s="1204"/>
      <c r="D127" s="1204"/>
      <c r="E127" s="1204"/>
      <c r="F127" s="1204"/>
      <c r="G127" s="1204"/>
      <c r="H127" s="1252"/>
      <c r="I127" s="1252"/>
      <c r="J127" s="1252"/>
      <c r="K127" s="1252"/>
      <c r="L127" s="1252"/>
      <c r="M127" s="1204"/>
      <c r="N127" s="1251"/>
      <c r="O127" s="1319"/>
      <c r="P127" s="1319"/>
      <c r="Q127" s="1319"/>
      <c r="R127" s="1319"/>
      <c r="S127" s="1204"/>
      <c r="T127" s="1204"/>
      <c r="U127" s="1204"/>
      <c r="V127" s="1204"/>
      <c r="W127" s="1204"/>
      <c r="X127" s="1204"/>
      <c r="Y127" s="1362"/>
      <c r="Z127" s="1207"/>
      <c r="AA127" s="1210"/>
      <c r="AB127" s="1207"/>
      <c r="AC127" s="1207"/>
      <c r="AD127" s="1207"/>
    </row>
    <row customHeight="1" ht="9">
      <c r="A128" s="1206"/>
      <c r="B128" s="1206"/>
      <c r="C128" s="1204"/>
      <c r="D128" s="1204"/>
      <c r="E128" s="1204"/>
      <c r="F128" s="1204"/>
      <c r="G128" s="1204"/>
      <c r="H128" s="1252"/>
      <c r="I128" s="1252"/>
      <c r="J128" s="1252"/>
      <c r="K128" s="1252"/>
      <c r="L128" s="1252"/>
      <c r="M128" s="1204"/>
      <c r="N128" s="1251"/>
      <c r="O128" s="1319"/>
      <c r="P128" s="1319"/>
      <c r="Q128" s="1319"/>
      <c r="R128" s="1319"/>
      <c r="S128" s="1204"/>
      <c r="T128" s="1204"/>
      <c r="U128" s="1204"/>
      <c r="V128" s="1204"/>
      <c r="W128" s="1204"/>
      <c r="X128" s="1204"/>
      <c r="Y128" s="1362"/>
      <c r="Z128" s="1207"/>
      <c r="AA128" s="1210"/>
      <c r="AB128" s="1207"/>
      <c r="AC128" s="1207"/>
      <c r="AD128" s="1207"/>
    </row>
    <row customHeight="1" ht="9">
      <c r="A129" s="1206"/>
      <c r="B129" s="1206"/>
      <c r="C129" s="1204"/>
      <c r="D129" s="1204"/>
      <c r="E129" s="1204"/>
      <c r="F129" s="1204"/>
      <c r="G129" s="1204"/>
      <c r="H129" s="1252"/>
      <c r="I129" s="1252"/>
      <c r="J129" s="1252"/>
      <c r="K129" s="1252"/>
      <c r="L129" s="1252"/>
      <c r="M129" s="1204"/>
      <c r="N129" s="1251"/>
      <c r="O129" s="1319"/>
      <c r="P129" s="1319"/>
      <c r="Q129" s="1319"/>
      <c r="R129" s="1319"/>
      <c r="S129" s="1204"/>
      <c r="T129" s="1204"/>
      <c r="U129" s="1204"/>
      <c r="V129" s="1204"/>
      <c r="W129" s="1204"/>
      <c r="X129" s="1204"/>
      <c r="Y129" s="1362"/>
      <c r="Z129" s="1207"/>
      <c r="AA129" s="1210"/>
      <c r="AB129" s="1207"/>
      <c r="AC129" s="1207"/>
      <c r="AD129" s="1207"/>
    </row>
    <row customHeight="1" ht="9">
      <c r="A130" s="1206"/>
      <c r="B130" s="1206"/>
      <c r="C130" s="1204"/>
      <c r="D130" s="1204"/>
      <c r="E130" s="1204"/>
      <c r="F130" s="1204"/>
      <c r="G130" s="1204"/>
      <c r="H130" s="1252"/>
      <c r="I130" s="1252"/>
      <c r="J130" s="1252"/>
      <c r="K130" s="1252"/>
      <c r="L130" s="1252"/>
      <c r="M130" s="1204"/>
      <c r="N130" s="1251"/>
      <c r="O130" s="1321"/>
      <c r="P130" s="1321"/>
      <c r="Q130" s="1321"/>
      <c r="R130" s="1321"/>
      <c r="S130" s="1204"/>
      <c r="T130" s="1204"/>
      <c r="U130" s="1204"/>
      <c r="V130" s="1204"/>
      <c r="W130" s="1204"/>
      <c r="X130" s="1204"/>
      <c r="Y130" s="1362"/>
      <c r="Z130" s="1207"/>
      <c r="AA130" s="1210"/>
      <c r="AB130" s="1207"/>
      <c r="AC130" s="1207"/>
      <c r="AD130" s="1207"/>
    </row>
    <row customHeight="1" ht="9">
      <c r="A131" s="1206"/>
      <c r="B131" s="1206"/>
      <c r="C131" s="1204"/>
      <c r="D131" s="1204"/>
      <c r="E131" s="1204"/>
      <c r="F131" s="1204"/>
      <c r="G131" s="1204"/>
      <c r="H131" s="1252"/>
      <c r="I131" s="1252"/>
      <c r="J131" s="1252"/>
      <c r="K131" s="1252"/>
      <c r="L131" s="1252"/>
      <c r="M131" s="1204"/>
      <c r="N131" s="1251"/>
      <c r="O131" s="1322"/>
      <c r="P131" s="1322"/>
      <c r="Q131" s="1322"/>
      <c r="R131" s="1322"/>
      <c r="S131" s="1204"/>
      <c r="T131" s="1204"/>
      <c r="U131" s="1204"/>
      <c r="V131" s="1204"/>
      <c r="W131" s="1204"/>
      <c r="X131" s="1204"/>
      <c r="Y131" s="1362"/>
      <c r="Z131" s="1207"/>
      <c r="AA131" s="1210"/>
      <c r="AB131" s="1207"/>
      <c r="AC131" s="1207"/>
      <c r="AD131" s="1207"/>
    </row>
    <row customHeight="1" ht="9">
      <c r="A132" s="1206"/>
      <c r="B132" s="1206"/>
      <c r="C132" s="1204"/>
      <c r="D132" s="1204"/>
      <c r="E132" s="1204"/>
      <c r="F132" s="1204"/>
      <c r="G132" s="1204"/>
      <c r="H132" s="1252"/>
      <c r="I132" s="1252"/>
      <c r="J132" s="1252"/>
      <c r="K132" s="1252"/>
      <c r="L132" s="1252"/>
      <c r="M132" s="1204"/>
      <c r="N132" s="1251"/>
      <c r="O132" s="1321"/>
      <c r="P132" s="1321"/>
      <c r="Q132" s="1321"/>
      <c r="R132" s="1321"/>
      <c r="S132" s="1204"/>
      <c r="T132" s="1204"/>
      <c r="U132" s="1204"/>
      <c r="V132" s="1204"/>
      <c r="W132" s="1204"/>
      <c r="X132" s="1204"/>
      <c r="Y132" s="1362"/>
      <c r="Z132" s="1207"/>
      <c r="AA132" s="1210"/>
      <c r="AB132" s="1207"/>
      <c r="AC132" s="1207"/>
      <c r="AD132" s="1207"/>
    </row>
    <row customHeight="1" ht="9">
      <c r="A133" s="1206"/>
      <c r="B133" s="1206"/>
      <c r="C133" s="1204"/>
      <c r="D133" s="1204"/>
      <c r="E133" s="1204"/>
      <c r="F133" s="1204"/>
      <c r="G133" s="1204"/>
      <c r="H133" s="1252"/>
      <c r="I133" s="1252"/>
      <c r="J133" s="1252"/>
      <c r="K133" s="1252"/>
      <c r="L133" s="1252"/>
      <c r="M133" s="1204"/>
      <c r="N133" s="1251"/>
      <c r="O133" s="1322"/>
      <c r="P133" s="1322"/>
      <c r="Q133" s="1322"/>
      <c r="R133" s="1322"/>
      <c r="S133" s="1204"/>
      <c r="T133" s="1204"/>
      <c r="U133" s="1204"/>
      <c r="V133" s="1204"/>
      <c r="W133" s="1204"/>
      <c r="X133" s="1204"/>
      <c r="Y133" s="1362"/>
      <c r="Z133" s="1207"/>
      <c r="AA133" s="1210"/>
      <c r="AB133" s="1207"/>
      <c r="AC133" s="1207"/>
      <c r="AD133" s="1207"/>
    </row>
    <row customHeight="1" ht="9">
      <c r="A134" s="1206"/>
      <c r="B134" s="1206"/>
      <c r="C134" s="1204"/>
      <c r="D134" s="1204"/>
      <c r="E134" s="1204"/>
      <c r="F134" s="1204"/>
      <c r="G134" s="1204"/>
      <c r="H134" s="1252"/>
      <c r="I134" s="1252"/>
      <c r="J134" s="1252"/>
      <c r="K134" s="1252"/>
      <c r="L134" s="1252"/>
      <c r="M134" s="1204"/>
      <c r="N134" s="1251"/>
      <c r="O134" s="1319"/>
      <c r="P134" s="1319"/>
      <c r="Q134" s="1319"/>
      <c r="R134" s="1319"/>
      <c r="S134" s="1204"/>
      <c r="T134" s="1204"/>
      <c r="U134" s="1204"/>
      <c r="V134" s="1204"/>
      <c r="W134" s="1204"/>
      <c r="X134" s="1204"/>
      <c r="Y134" s="1362"/>
      <c r="Z134" s="1207"/>
      <c r="AA134" s="1210"/>
      <c r="AB134" s="1207"/>
      <c r="AC134" s="1207"/>
      <c r="AD134" s="1207"/>
    </row>
    <row customHeight="1" ht="9">
      <c r="A135" s="1206"/>
      <c r="B135" s="1206"/>
      <c r="C135" s="1204"/>
      <c r="D135" s="1204"/>
      <c r="E135" s="1204"/>
      <c r="F135" s="1204"/>
      <c r="G135" s="1204"/>
      <c r="H135" s="1252"/>
      <c r="I135" s="1252"/>
      <c r="J135" s="1252"/>
      <c r="K135" s="1252"/>
      <c r="L135" s="1252"/>
      <c r="M135" s="1204"/>
      <c r="N135" s="1251"/>
      <c r="O135" s="1319"/>
      <c r="P135" s="1319"/>
      <c r="Q135" s="1319"/>
      <c r="R135" s="1319"/>
      <c r="S135" s="1204"/>
      <c r="T135" s="1204"/>
      <c r="U135" s="1204"/>
      <c r="V135" s="1204"/>
      <c r="W135" s="1204"/>
      <c r="X135" s="1204"/>
      <c r="Y135" s="1362"/>
      <c r="Z135" s="1207"/>
      <c r="AA135" s="1210"/>
      <c r="AB135" s="1207"/>
      <c r="AC135" s="1207"/>
      <c r="AD135" s="1207"/>
    </row>
    <row customHeight="1" ht="9">
      <c r="A136" s="1206"/>
      <c r="B136" s="1206"/>
      <c r="C136" s="1204"/>
      <c r="D136" s="1204"/>
      <c r="E136" s="1204"/>
      <c r="F136" s="1204"/>
      <c r="G136" s="1204"/>
      <c r="H136" s="1252"/>
      <c r="I136" s="1252"/>
      <c r="J136" s="1252"/>
      <c r="K136" s="1252"/>
      <c r="L136" s="1252"/>
      <c r="M136" s="1204"/>
      <c r="N136" s="1251"/>
      <c r="O136" s="1319"/>
      <c r="P136" s="1319"/>
      <c r="Q136" s="1319"/>
      <c r="R136" s="1319"/>
      <c r="S136" s="1204"/>
      <c r="T136" s="1204"/>
      <c r="U136" s="1204"/>
      <c r="V136" s="1204"/>
      <c r="W136" s="1204"/>
      <c r="X136" s="1204"/>
      <c r="Y136" s="1362"/>
      <c r="Z136" s="1207"/>
      <c r="AA136" s="1210"/>
      <c r="AB136" s="1207"/>
      <c r="AC136" s="1207"/>
      <c r="AD136" s="1207"/>
    </row>
    <row customHeight="1" ht="9">
      <c r="A137" s="1206"/>
      <c r="B137" s="1206"/>
      <c r="C137" s="1204"/>
      <c r="D137" s="1204"/>
      <c r="E137" s="1204"/>
      <c r="F137" s="1204"/>
      <c r="G137" s="1204"/>
      <c r="H137" s="1252"/>
      <c r="I137" s="1252"/>
      <c r="J137" s="1252"/>
      <c r="K137" s="1252"/>
      <c r="L137" s="1252"/>
      <c r="M137" s="1204"/>
      <c r="N137" s="1251"/>
      <c r="O137" s="1323"/>
      <c r="P137" s="1323"/>
      <c r="Q137" s="1323"/>
      <c r="R137" s="1323"/>
      <c r="S137" s="1204"/>
      <c r="T137" s="1204"/>
      <c r="U137" s="1204"/>
      <c r="V137" s="1204"/>
      <c r="W137" s="1204"/>
      <c r="X137" s="1204"/>
      <c r="Y137" s="1362"/>
      <c r="Z137" s="1207"/>
      <c r="AA137" s="1210"/>
      <c r="AB137" s="1207"/>
      <c r="AC137" s="1207"/>
      <c r="AD137" s="1207"/>
    </row>
    <row customHeight="1" ht="9">
      <c r="A138" s="1206"/>
      <c r="B138" s="1206"/>
      <c r="C138" s="1204"/>
      <c r="D138" s="1204"/>
      <c r="E138" s="1204"/>
      <c r="F138" s="1204"/>
      <c r="G138" s="1204"/>
      <c r="H138" s="1252"/>
      <c r="I138" s="1252"/>
      <c r="J138" s="1252"/>
      <c r="K138" s="1252"/>
      <c r="L138" s="1252"/>
      <c r="M138" s="1204"/>
      <c r="N138" s="1251"/>
      <c r="O138" s="1320"/>
      <c r="P138" s="1320"/>
      <c r="Q138" s="1320"/>
      <c r="R138" s="1320"/>
      <c r="S138" s="1204"/>
      <c r="T138" s="1204"/>
      <c r="U138" s="1204"/>
      <c r="V138" s="1204"/>
      <c r="W138" s="1204"/>
      <c r="X138" s="1204"/>
      <c r="Y138" s="1362"/>
      <c r="Z138" s="1207"/>
      <c r="AA138" s="1210"/>
      <c r="AB138" s="1207"/>
      <c r="AC138" s="1207"/>
      <c r="AD138" s="1207"/>
    </row>
    <row customHeight="1" ht="9">
      <c r="A139" s="1206"/>
      <c r="B139" s="1206"/>
      <c r="C139" s="1204"/>
      <c r="D139" s="1204"/>
      <c r="E139" s="1204"/>
      <c r="F139" s="1204"/>
      <c r="G139" s="1204"/>
      <c r="H139" s="1252"/>
      <c r="I139" s="1252"/>
      <c r="J139" s="1252"/>
      <c r="K139" s="1252"/>
      <c r="L139" s="1252"/>
      <c r="M139" s="1204"/>
      <c r="N139" s="1251"/>
      <c r="O139" s="1204"/>
      <c r="P139" s="1204"/>
      <c r="Q139" s="1204"/>
      <c r="R139" s="1204"/>
      <c r="S139" s="1204"/>
      <c r="T139" s="1204"/>
      <c r="U139" s="1204"/>
      <c r="V139" s="1204"/>
      <c r="W139" s="1204"/>
      <c r="X139" s="1204"/>
      <c r="Y139" s="1362"/>
      <c r="Z139" s="1207"/>
      <c r="AA139" s="1210"/>
      <c r="AB139" s="1207"/>
      <c r="AC139" s="1207"/>
      <c r="AD139" s="1207"/>
    </row>
    <row customHeight="1" ht="9">
      <c r="A140" s="1206"/>
      <c r="B140" s="1206"/>
      <c r="C140" s="1204"/>
      <c r="D140" s="1204"/>
      <c r="E140" s="1204"/>
      <c r="F140" s="1204"/>
      <c r="G140" s="1204"/>
      <c r="H140" s="1252"/>
      <c r="I140" s="1252"/>
      <c r="J140" s="1252"/>
      <c r="K140" s="1252"/>
      <c r="L140" s="1252"/>
      <c r="M140" s="1204"/>
      <c r="N140" s="1251"/>
      <c r="O140" s="1204"/>
      <c r="P140" s="1204"/>
      <c r="Q140" s="1204"/>
      <c r="R140" s="1204"/>
      <c r="S140" s="1204"/>
      <c r="T140" s="1204"/>
      <c r="U140" s="1204"/>
      <c r="V140" s="1204"/>
      <c r="W140" s="1204"/>
      <c r="X140" s="1204"/>
      <c r="Y140" s="1362"/>
      <c r="Z140" s="1207"/>
      <c r="AA140" s="1210"/>
      <c r="AB140" s="1207"/>
      <c r="AC140" s="1207"/>
      <c r="AD140" s="1207"/>
    </row>
    <row customHeight="1" ht="9">
      <c r="A141" s="1206"/>
      <c r="B141" s="1206"/>
      <c r="C141" s="1204"/>
      <c r="D141" s="1204"/>
      <c r="E141" s="1204"/>
      <c r="F141" s="1204"/>
      <c r="G141" s="1204"/>
      <c r="H141" s="1252"/>
      <c r="I141" s="1252"/>
      <c r="J141" s="1252"/>
      <c r="K141" s="1252"/>
      <c r="L141" s="1252"/>
      <c r="M141" s="1204"/>
      <c r="N141" s="1251"/>
      <c r="O141" s="1204"/>
      <c r="P141" s="1204"/>
      <c r="Q141" s="1204"/>
      <c r="R141" s="1204"/>
      <c r="S141" s="1204"/>
      <c r="T141" s="1204"/>
      <c r="U141" s="1204"/>
      <c r="V141" s="1204"/>
      <c r="W141" s="1204"/>
      <c r="X141" s="1204"/>
      <c r="Y141" s="1362"/>
      <c r="Z141" s="1207"/>
      <c r="AA141" s="1210"/>
      <c r="AB141" s="1207"/>
      <c r="AC141" s="1207"/>
      <c r="AD141" s="1207"/>
    </row>
    <row customHeight="1" ht="9">
      <c r="A142" s="1206"/>
      <c r="B142" s="1206"/>
      <c r="C142" s="1204"/>
      <c r="D142" s="1204"/>
      <c r="E142" s="1204"/>
      <c r="F142" s="1204"/>
      <c r="G142" s="1204"/>
      <c r="H142" s="1252"/>
      <c r="I142" s="1252"/>
      <c r="J142" s="1252"/>
      <c r="K142" s="1252"/>
      <c r="L142" s="1252"/>
      <c r="M142" s="1204"/>
      <c r="N142" s="1251"/>
      <c r="O142" s="1204"/>
      <c r="P142" s="1204"/>
      <c r="Q142" s="1204"/>
      <c r="R142" s="1204"/>
      <c r="S142" s="1204"/>
      <c r="T142" s="1204"/>
      <c r="U142" s="1204"/>
      <c r="V142" s="1204"/>
      <c r="W142" s="1204"/>
      <c r="X142" s="1204"/>
      <c r="Y142" s="1362"/>
      <c r="Z142" s="1207"/>
      <c r="AA142" s="1210"/>
      <c r="AB142" s="1207"/>
      <c r="AC142" s="1207"/>
      <c r="AD142" s="1207"/>
    </row>
    <row customHeight="1" ht="9">
      <c r="A143" s="1206"/>
      <c r="B143" s="1206"/>
      <c r="C143" s="1204"/>
      <c r="D143" s="1204"/>
      <c r="E143" s="1204"/>
      <c r="F143" s="1204"/>
      <c r="G143" s="1204"/>
      <c r="H143" s="1252"/>
      <c r="I143" s="1252"/>
      <c r="J143" s="1252"/>
      <c r="K143" s="1252"/>
      <c r="L143" s="1252"/>
      <c r="M143" s="1204"/>
      <c r="N143" s="1251"/>
      <c r="O143" s="1204"/>
      <c r="P143" s="1204"/>
      <c r="Q143" s="1204"/>
      <c r="R143" s="1204"/>
      <c r="S143" s="1204"/>
      <c r="T143" s="1204"/>
      <c r="U143" s="1204"/>
      <c r="V143" s="1204"/>
      <c r="W143" s="1204"/>
      <c r="X143" s="1204"/>
      <c r="Y143" s="1362"/>
      <c r="Z143" s="1207"/>
      <c r="AA143" s="1210"/>
      <c r="AB143" s="1207"/>
      <c r="AC143" s="1207"/>
      <c r="AD143" s="1207"/>
    </row>
    <row customHeight="1" ht="9">
      <c r="A144" s="1206"/>
      <c r="B144" s="1206"/>
      <c r="C144" s="1204"/>
      <c r="D144" s="1204"/>
      <c r="E144" s="1204"/>
      <c r="F144" s="1204"/>
      <c r="G144" s="1204"/>
      <c r="H144" s="1252"/>
      <c r="I144" s="1252"/>
      <c r="J144" s="1252"/>
      <c r="K144" s="1252"/>
      <c r="L144" s="1252"/>
      <c r="M144" s="1204"/>
      <c r="N144" s="1251"/>
      <c r="O144" s="1204"/>
      <c r="P144" s="1204"/>
      <c r="Q144" s="1204"/>
      <c r="R144" s="1204"/>
      <c r="S144" s="1204"/>
      <c r="T144" s="1204"/>
      <c r="U144" s="1204"/>
      <c r="V144" s="1204"/>
      <c r="W144" s="1204"/>
      <c r="X144" s="1204"/>
      <c r="Y144" s="1362"/>
      <c r="Z144" s="1207"/>
      <c r="AA144" s="1210"/>
      <c r="AB144" s="1207"/>
      <c r="AC144" s="1207"/>
      <c r="AD144" s="1207"/>
    </row>
    <row customHeight="1" ht="9">
      <c r="A145" s="1206"/>
      <c r="B145" s="1206"/>
      <c r="C145" s="1204"/>
      <c r="D145" s="1204"/>
      <c r="E145" s="1204"/>
      <c r="F145" s="1204"/>
      <c r="G145" s="1204"/>
      <c r="H145" s="1252"/>
      <c r="I145" s="1252"/>
      <c r="J145" s="1252"/>
      <c r="K145" s="1252"/>
      <c r="L145" s="1252"/>
      <c r="M145" s="1204"/>
      <c r="N145" s="1251"/>
      <c r="O145" s="1204"/>
      <c r="P145" s="1204"/>
      <c r="Q145" s="1204"/>
      <c r="R145" s="1204"/>
      <c r="S145" s="1204"/>
      <c r="T145" s="1204"/>
      <c r="U145" s="1204"/>
      <c r="V145" s="1204"/>
      <c r="W145" s="1204"/>
      <c r="X145" s="1204"/>
      <c r="Y145" s="1362"/>
      <c r="Z145" s="1207"/>
      <c r="AA145" s="1210"/>
      <c r="AB145" s="1207"/>
      <c r="AC145" s="1207"/>
      <c r="AD145" s="1207"/>
    </row>
    <row customHeight="1" ht="9">
      <c r="A146" s="1206"/>
      <c r="B146" s="1206"/>
      <c r="C146" s="1204"/>
      <c r="D146" s="1204"/>
      <c r="E146" s="1204"/>
      <c r="F146" s="1204"/>
      <c r="G146" s="1204"/>
      <c r="H146" s="1252"/>
      <c r="I146" s="1252"/>
      <c r="J146" s="1252"/>
      <c r="K146" s="1252"/>
      <c r="L146" s="1252"/>
      <c r="M146" s="1204"/>
      <c r="N146" s="1251"/>
      <c r="O146" s="1204"/>
      <c r="P146" s="1204"/>
      <c r="Q146" s="1204"/>
      <c r="R146" s="1204"/>
      <c r="S146" s="1204"/>
      <c r="T146" s="1204"/>
      <c r="U146" s="1204"/>
      <c r="V146" s="1204"/>
      <c r="W146" s="1204"/>
      <c r="X146" s="1204"/>
      <c r="Y146" s="1362"/>
      <c r="Z146" s="1207"/>
      <c r="AA146" s="1210"/>
      <c r="AB146" s="1207"/>
      <c r="AC146" s="1207"/>
      <c r="AD146" s="1207"/>
    </row>
    <row customHeight="1" ht="9">
      <c r="A147" s="1206"/>
      <c r="B147" s="1206"/>
      <c r="C147" s="1206"/>
      <c r="D147" s="1206"/>
      <c r="E147" s="1206"/>
      <c r="F147" s="1206"/>
      <c r="G147" s="1206"/>
      <c r="H147" s="1206"/>
      <c r="I147" s="1206"/>
      <c r="J147" s="1206"/>
      <c r="K147" s="1206"/>
      <c r="L147" s="1206"/>
      <c r="M147" s="1206"/>
      <c r="N147" s="1206"/>
      <c r="O147" s="1206"/>
      <c r="P147" s="1206"/>
      <c r="Q147" s="1206"/>
      <c r="R147" s="1206"/>
      <c r="S147" s="1206"/>
      <c r="T147" s="1206"/>
      <c r="U147" s="1206"/>
      <c r="V147" s="1206"/>
      <c r="W147" s="1206"/>
      <c r="X147" s="1206"/>
      <c r="Y147" s="1206"/>
      <c r="Z147" s="1206"/>
      <c r="AA147" s="1206"/>
      <c r="AB147" s="1206"/>
      <c r="AC147" s="1206"/>
      <c r="AD147" s="1206"/>
    </row>
    <row customHeight="1" ht="90">
      <c r="A148" s="1206" t="s">
        <v>1628</v>
      </c>
      <c r="B148" s="1206"/>
      <c r="C148" s="1204" t="s">
        <v>2200</v>
      </c>
      <c r="D148" s="1204" t="s">
        <v>1531</v>
      </c>
      <c r="E148" s="1204" t="s">
        <v>1630</v>
      </c>
      <c r="F148" s="1204" t="s">
        <v>2201</v>
      </c>
      <c r="G148" s="1204"/>
      <c r="H148" s="1204"/>
      <c r="I148" s="1325"/>
      <c r="J148" s="1325"/>
      <c r="K148" s="1325"/>
      <c r="L148" s="1325"/>
      <c r="M148" s="125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1209"/>
      <c r="O148" s="1204"/>
      <c r="P148" s="1205"/>
      <c r="Q148" s="1205"/>
      <c r="R148" s="1205"/>
      <c r="S148" s="1204"/>
      <c r="T148" s="1204" t="s">
        <v>2202</v>
      </c>
      <c r="U148" s="120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1205"/>
      <c r="W148" s="1205"/>
      <c r="X148" s="1204" t="s">
        <v>2203</v>
      </c>
      <c r="Y148" s="1362"/>
      <c r="Z148" s="1207"/>
      <c r="AA148" s="1210"/>
      <c r="AB148" s="1207"/>
      <c r="AC148" s="1207"/>
      <c r="AD148" s="1207"/>
    </row>
    <row customHeight="1" ht="9">
      <c r="A149" s="1206"/>
      <c r="B149" s="1206"/>
      <c r="C149" s="1206"/>
      <c r="D149" s="1206"/>
      <c r="E149" s="1206"/>
      <c r="F149" s="1206"/>
      <c r="G149" s="1206"/>
      <c r="H149" s="1206"/>
      <c r="I149" s="1206"/>
      <c r="J149" s="1206"/>
      <c r="K149" s="1206"/>
      <c r="L149" s="1206"/>
      <c r="M149" s="1206"/>
      <c r="N149" s="1206"/>
      <c r="O149" s="1206"/>
      <c r="P149" s="1206"/>
      <c r="Q149" s="1206"/>
      <c r="R149" s="1206"/>
      <c r="S149" s="1206"/>
      <c r="T149" s="1206"/>
      <c r="U149" s="1206"/>
      <c r="V149" s="1206"/>
      <c r="W149" s="1206"/>
      <c r="X149" s="1206"/>
      <c r="Y149" s="1206"/>
      <c r="Z149" s="1206"/>
      <c r="AA149" s="1206"/>
      <c r="AB149" s="1206"/>
      <c r="AC149" s="1206"/>
      <c r="AD149" s="1206"/>
    </row>
    <row customHeight="1" ht="9">
      <c r="A150" s="1206" t="s">
        <v>1632</v>
      </c>
      <c r="B150" s="1206"/>
      <c r="C150" s="1204"/>
      <c r="D150" s="1204"/>
      <c r="E150" s="1204"/>
      <c r="F150" s="1204"/>
      <c r="G150" s="1204"/>
      <c r="H150" s="1204"/>
      <c r="I150" s="1204"/>
      <c r="J150" s="1204"/>
      <c r="K150" s="1204"/>
      <c r="L150" s="1204"/>
      <c r="M150" s="1204"/>
      <c r="N150" s="1204"/>
      <c r="O150" s="1204"/>
      <c r="P150" s="1204"/>
      <c r="Q150" s="1204"/>
      <c r="R150" s="1204"/>
      <c r="S150" s="1204"/>
      <c r="T150" s="1204"/>
      <c r="U150" s="1204"/>
      <c r="V150" s="1204"/>
      <c r="W150" s="1204"/>
      <c r="X150" s="1204"/>
      <c r="Y150" s="1362"/>
      <c r="Z150" s="1207"/>
      <c r="AA150" s="1210"/>
      <c r="AB150" s="1207"/>
      <c r="AC150" s="1207"/>
      <c r="AD150" s="1207"/>
    </row>
    <row customHeight="1" ht="9">
      <c r="A151" s="1206"/>
      <c r="B151" s="1206"/>
      <c r="C151" s="1206"/>
      <c r="D151" s="1206"/>
      <c r="E151" s="1206"/>
      <c r="F151" s="1206"/>
      <c r="G151" s="1206"/>
      <c r="H151" s="1206"/>
      <c r="I151" s="1206"/>
      <c r="J151" s="1206"/>
      <c r="K151" s="1206"/>
      <c r="L151" s="1206"/>
      <c r="M151" s="1206"/>
      <c r="N151" s="1206"/>
      <c r="O151" s="1206"/>
      <c r="P151" s="1206"/>
      <c r="Q151" s="1206"/>
      <c r="R151" s="1206"/>
      <c r="S151" s="1206"/>
      <c r="T151" s="1206"/>
      <c r="U151" s="1206"/>
      <c r="V151" s="1206"/>
      <c r="W151" s="1206"/>
      <c r="X151" s="1206"/>
      <c r="Y151" s="1206"/>
      <c r="Z151" s="1206"/>
      <c r="AA151" s="1206"/>
      <c r="AB151" s="1206"/>
      <c r="AC151" s="1206"/>
      <c r="AD151" s="1206"/>
    </row>
    <row customHeight="1" ht="9">
      <c r="A152" s="1206" t="s">
        <v>1635</v>
      </c>
      <c r="B152" s="1206"/>
      <c r="C152" s="1204"/>
      <c r="D152" s="1204"/>
      <c r="E152" s="1204"/>
      <c r="F152" s="1204"/>
      <c r="G152" s="1204"/>
      <c r="H152" s="1204"/>
      <c r="I152" s="1204"/>
      <c r="J152" s="1204"/>
      <c r="K152" s="1204"/>
      <c r="L152" s="1204"/>
      <c r="M152" s="1204"/>
      <c r="N152" s="1204"/>
      <c r="O152" s="1204"/>
      <c r="P152" s="1204"/>
      <c r="Q152" s="1204"/>
      <c r="R152" s="1204"/>
      <c r="S152" s="1204"/>
      <c r="T152" s="1204"/>
      <c r="U152" s="1204"/>
      <c r="V152" s="1204"/>
      <c r="W152" s="1204"/>
      <c r="X152" s="1204"/>
      <c r="Y152" s="1362"/>
      <c r="Z152" s="1207"/>
      <c r="AA152" s="1210"/>
      <c r="AB152" s="1207"/>
      <c r="AC152" s="1207"/>
      <c r="AD152" s="1207"/>
    </row>
    <row customHeight="1" ht="9">
      <c r="A153" s="1206"/>
      <c r="B153" s="1206"/>
      <c r="C153" s="1206"/>
      <c r="D153" s="1206"/>
      <c r="E153" s="1206"/>
      <c r="F153" s="1206"/>
      <c r="G153" s="1206"/>
      <c r="H153" s="1206"/>
      <c r="I153" s="1206"/>
      <c r="J153" s="1206"/>
      <c r="K153" s="1206"/>
      <c r="L153" s="1206"/>
      <c r="M153" s="1206"/>
      <c r="N153" s="1206"/>
      <c r="O153" s="1206"/>
      <c r="P153" s="1206"/>
      <c r="Q153" s="1206"/>
      <c r="R153" s="1206"/>
      <c r="S153" s="1206"/>
      <c r="T153" s="1206"/>
      <c r="U153" s="1206"/>
      <c r="V153" s="1206"/>
      <c r="W153" s="1206"/>
      <c r="X153" s="1206"/>
      <c r="Y153" s="1206"/>
      <c r="Z153" s="1206"/>
      <c r="AA153" s="1206"/>
      <c r="AB153" s="1206"/>
      <c r="AC153" s="1206"/>
      <c r="AD153" s="1206"/>
    </row>
    <row customHeight="1" ht="9">
      <c r="A154" s="1206" t="s">
        <v>1640</v>
      </c>
      <c r="B154" s="1206"/>
      <c r="C154" s="1204"/>
      <c r="D154" s="1204"/>
      <c r="E154" s="1204"/>
      <c r="F154" s="1204"/>
      <c r="G154" s="1204"/>
      <c r="H154" s="1204"/>
      <c r="I154" s="1204"/>
      <c r="J154" s="1204"/>
      <c r="K154" s="1204"/>
      <c r="L154" s="1204"/>
      <c r="M154" s="1204"/>
      <c r="N154" s="1204"/>
      <c r="O154" s="1204"/>
      <c r="P154" s="1204"/>
      <c r="Q154" s="1204"/>
      <c r="R154" s="1204"/>
      <c r="S154" s="1204"/>
      <c r="T154" s="1204"/>
      <c r="U154" s="1204"/>
      <c r="V154" s="1204"/>
      <c r="W154" s="1204"/>
      <c r="X154" s="1204"/>
      <c r="Y154" s="1362"/>
      <c r="Z154" s="1207"/>
      <c r="AA154" s="1210"/>
      <c r="AB154" s="1207"/>
      <c r="AC154" s="1207"/>
      <c r="AD154" s="120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4D8995-F753-B33C-C855-4F1CE25FB135}"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32217" width="10.57421875" hidden="1"/>
    <col min="2" max="2" style="32217" width="11.00390625" hidden="1" customWidth="1"/>
    <col min="3" max="3" style="32217" width="10.57421875" hidden="1"/>
    <col min="4" max="4" style="32217" width="11.8515625" hidden="1" customWidth="1"/>
    <col min="5" max="5" style="32217" width="12.28125" hidden="1" customWidth="1"/>
    <col min="6" max="8" style="32298" width="12.28125" hidden="1" customWidth="1"/>
    <col min="9" max="9" style="38100" width="3.7109375" customWidth="1"/>
    <col min="10" max="11" style="32300" width="3.7109375" customWidth="1"/>
    <col min="12" max="12" style="32301" width="12.7109375" customWidth="1"/>
    <col min="13" max="13" style="32302" width="32.00390625" customWidth="1"/>
    <col min="14" max="14" style="32302" width="1.7109375" customWidth="1"/>
    <col min="15" max="18" style="32302" width="24.7109375" customWidth="1"/>
    <col min="19" max="19" style="32302" width="11.7109375" customWidth="1"/>
    <col min="20" max="20" style="32302" width="3.7109375" customWidth="1"/>
    <col min="21" max="21" style="32302" width="11.7109375" customWidth="1"/>
    <col min="22" max="22" style="32302" width="8.57421875" customWidth="1"/>
    <col min="23" max="23" style="32302" width="4.7109375" customWidth="1"/>
    <col min="24" max="24" style="32302" width="115.7109375" customWidth="1"/>
    <col min="25" max="26" style="32289" width="10.57421875"/>
    <col min="27" max="27" style="32289" width="11.140625" customWidth="1"/>
    <col min="28" max="29" style="32289" width="10.57421875"/>
  </cols>
  <sheetData>
    <row customHeight="1" ht="14.25" hidden="1">
      <c r="R1" s="688"/>
      <c r="S1" s="688"/>
    </row>
    <row customHeight="1" ht="14.25" hidden="1">
      <c r="V2" s="688"/>
    </row>
    <row customHeight="1" ht="14.25" hidden="1"/>
    <row customHeight="1" ht="14.25">
      <c r="J4" s="737"/>
      <c r="K4" s="737"/>
      <c r="L4" s="1641"/>
      <c r="M4" s="724"/>
      <c r="N4" s="724"/>
      <c r="O4" s="870"/>
      <c r="P4" s="870"/>
      <c r="Q4" s="870"/>
      <c r="R4" s="870"/>
      <c r="S4" s="870"/>
      <c r="T4" s="870"/>
      <c r="U4" s="870"/>
      <c r="V4" s="870"/>
    </row>
    <row customHeight="1" ht="64.5">
      <c r="J5" s="737"/>
      <c r="K5" s="737"/>
      <c r="L5" s="2865" t="s">
        <v>2204</v>
      </c>
      <c r="M5" s="2865"/>
      <c r="N5" s="2865"/>
      <c r="O5" s="2865"/>
      <c r="P5" s="2865"/>
      <c r="Q5" s="2865"/>
      <c r="R5" s="2865"/>
      <c r="S5" s="2865"/>
      <c r="T5" s="2865"/>
      <c r="U5" s="2865"/>
      <c r="V5" s="1608"/>
    </row>
    <row customHeight="1" ht="14.25">
      <c r="J6" s="737"/>
      <c r="K6" s="737"/>
      <c r="L6" s="2866" t="str">
        <f>IF(org=0,"Не определено",org)</f>
        <v>АО "Мурманэнергосбыт"</v>
      </c>
      <c r="M6" s="2866"/>
      <c r="N6" s="2866"/>
      <c r="O6" s="2866"/>
      <c r="P6" s="2866"/>
      <c r="Q6" s="2866"/>
      <c r="R6" s="2866"/>
      <c r="S6" s="2866"/>
      <c r="T6" s="2866"/>
      <c r="U6" s="2866"/>
      <c r="V6" s="1608"/>
    </row>
    <row customHeight="1" ht="14.25">
      <c r="J7" s="737"/>
      <c r="K7" s="737"/>
      <c r="L7" s="1641"/>
      <c r="M7" s="724"/>
      <c r="N7" s="724"/>
      <c r="O7" s="683"/>
      <c r="P7" s="683"/>
      <c r="Q7" s="683"/>
      <c r="R7" s="683"/>
      <c r="S7" s="683"/>
      <c r="T7" s="683"/>
      <c r="U7" s="683"/>
      <c r="V7" s="683"/>
      <c r="W7" s="870"/>
    </row>
    <row s="32230" customFormat="1" customHeight="1" ht="45">
      <c r="A8" s="1734"/>
      <c r="B8" s="1734"/>
      <c r="C8" s="1734"/>
      <c r="D8" s="1734"/>
      <c r="E8" s="1734"/>
      <c r="F8" s="1734"/>
      <c r="G8" s="1734"/>
      <c r="H8" s="1734"/>
      <c r="L8" s="1642"/>
      <c r="M8" s="656" t="s">
        <v>38</v>
      </c>
      <c r="N8" s="665"/>
      <c r="O8" s="2520" t="str">
        <f>IF(TITLE_NAME_OR_PR_CHANGE="",IF(TITLE_NAME_OR_PR="","",TITLE_NAME_OR_PR),TITLE_NAME_OR_PR_CHANGE)</f>
        <v>Комитет по тарифному регулированию Мурманской области</v>
      </c>
      <c r="P8" s="2520"/>
      <c r="Q8" s="2520"/>
      <c r="R8" s="2520"/>
      <c r="S8" s="2520"/>
      <c r="T8" s="2520"/>
      <c r="U8" s="2520"/>
      <c r="V8" s="687"/>
      <c r="W8" s="687"/>
      <c r="X8" s="641"/>
      <c r="Y8" s="729"/>
      <c r="Z8" s="729"/>
      <c r="AA8" s="729"/>
      <c r="AB8" s="729"/>
      <c r="AC8" s="729"/>
    </row>
    <row s="32230" customFormat="1" customHeight="1" ht="22.5">
      <c r="A9" s="1734"/>
      <c r="B9" s="1734"/>
      <c r="C9" s="1734"/>
      <c r="D9" s="1734"/>
      <c r="E9" s="1734"/>
      <c r="F9" s="1734"/>
      <c r="G9" s="1734"/>
      <c r="H9" s="1734"/>
      <c r="L9" s="1642"/>
      <c r="M9" s="656" t="s">
        <v>462</v>
      </c>
      <c r="N9" s="665"/>
      <c r="O9" s="2520" t="str">
        <f>IF(TITLE_DATE_CHANGE_PERIOD="",IF(TITLE_DATE_PR="","",TITLE_DATE_PR),TITLE_DATE_CHANGE_PERIOD)</f>
        <v>45292</v>
      </c>
      <c r="P9" s="2520"/>
      <c r="Q9" s="2520"/>
      <c r="R9" s="2520"/>
      <c r="S9" s="2520"/>
      <c r="T9" s="2520"/>
      <c r="U9" s="2520"/>
      <c r="V9" s="687"/>
      <c r="W9" s="687"/>
      <c r="X9" s="641"/>
      <c r="Y9" s="729"/>
      <c r="Z9" s="729"/>
      <c r="AA9" s="729"/>
      <c r="AB9" s="729"/>
      <c r="AC9" s="729"/>
    </row>
    <row s="32230" customFormat="1" customHeight="1" ht="22.5">
      <c r="A10" s="1734"/>
      <c r="B10" s="1734"/>
      <c r="C10" s="1734"/>
      <c r="D10" s="1734"/>
      <c r="E10" s="1734"/>
      <c r="F10" s="1734"/>
      <c r="G10" s="1734"/>
      <c r="H10" s="1734"/>
      <c r="L10" s="1615"/>
      <c r="M10" s="656" t="s">
        <v>463</v>
      </c>
      <c r="N10" s="665"/>
      <c r="O10" s="2520" t="str">
        <f>IF(TITLE_NUMBER_PR_CHANGE="",IF(TITLE_NUMBER_PR="","",TITLE_NUMBER_PR),TITLE_NUMBER_PR_CHANGE)</f>
        <v>51/16</v>
      </c>
      <c r="P10" s="2520"/>
      <c r="Q10" s="2520"/>
      <c r="R10" s="2520"/>
      <c r="S10" s="2520"/>
      <c r="T10" s="2520"/>
      <c r="U10" s="2520"/>
      <c r="V10" s="687"/>
      <c r="W10" s="687"/>
      <c r="X10" s="641"/>
      <c r="Y10" s="729"/>
      <c r="Z10" s="729"/>
      <c r="AA10" s="729"/>
      <c r="AB10" s="729"/>
      <c r="AC10" s="729"/>
    </row>
    <row s="32230" customFormat="1" customHeight="1" ht="22.5">
      <c r="A11" s="1734"/>
      <c r="B11" s="1734"/>
      <c r="C11" s="1734"/>
      <c r="D11" s="1734"/>
      <c r="E11" s="1734"/>
      <c r="F11" s="1734"/>
      <c r="G11" s="1734"/>
      <c r="H11" s="1734"/>
      <c r="L11" s="1615"/>
      <c r="M11" s="656" t="s">
        <v>40</v>
      </c>
      <c r="N11" s="665"/>
      <c r="O11" s="2520" t="str">
        <f>IF(TITLE_IST_PUB_CHANGE="",IF(TITLE_IST_PUB="","",TITLE_IST_PUB),TITLE_IST_PUB_CHANGE)</f>
        <v>https://npa.gov-murman.ru/bitrix/components/b1team/govmurman.element.file/download.php?ID=508455&amp;FID=750728</v>
      </c>
      <c r="P11" s="2520"/>
      <c r="Q11" s="2520"/>
      <c r="R11" s="2520"/>
      <c r="S11" s="2520"/>
      <c r="T11" s="2520"/>
      <c r="U11" s="2520"/>
      <c r="V11" s="687"/>
      <c r="W11" s="687"/>
      <c r="X11" s="641"/>
      <c r="Y11" s="729"/>
      <c r="Z11" s="729"/>
      <c r="AA11" s="729"/>
      <c r="AB11" s="729"/>
      <c r="AC11" s="729"/>
    </row>
    <row s="32230" customFormat="1" customHeight="1" ht="11.25" hidden="1">
      <c r="A12" s="1734"/>
      <c r="B12" s="1734"/>
      <c r="C12" s="1734"/>
      <c r="D12" s="1734"/>
      <c r="E12" s="1734"/>
      <c r="F12" s="1734"/>
      <c r="G12" s="1734"/>
      <c r="H12" s="1734"/>
      <c r="L12" s="2864"/>
      <c r="M12" s="2864"/>
      <c r="N12" s="1653"/>
      <c r="O12" s="687"/>
      <c r="P12" s="687"/>
      <c r="Q12" s="687"/>
      <c r="R12" s="687"/>
      <c r="S12" s="687"/>
      <c r="T12" s="687"/>
      <c r="U12" s="687"/>
      <c r="V12" s="639" t="s">
        <v>466</v>
      </c>
      <c r="Y12" s="729"/>
      <c r="Z12" s="729"/>
      <c r="AA12" s="729"/>
      <c r="AB12" s="729"/>
      <c r="AC12" s="729"/>
    </row>
    <row customHeight="1" ht="14.25">
      <c r="J13" s="737"/>
      <c r="K13" s="737"/>
      <c r="L13" s="1641"/>
      <c r="M13" s="724"/>
      <c r="N13" s="1609"/>
      <c r="O13" s="2544"/>
      <c r="P13" s="2544"/>
      <c r="Q13" s="2544"/>
      <c r="R13" s="2544"/>
      <c r="S13" s="2544"/>
      <c r="T13" s="2544"/>
      <c r="U13" s="2544"/>
      <c r="V13" s="2544"/>
    </row>
    <row customHeight="1" ht="14.25">
      <c r="J14" s="737"/>
      <c r="K14" s="737"/>
      <c r="L14" s="2392" t="s">
        <v>341</v>
      </c>
      <c r="M14" s="2392"/>
      <c r="N14" s="2392"/>
      <c r="O14" s="2392"/>
      <c r="P14" s="2392"/>
      <c r="Q14" s="2392"/>
      <c r="R14" s="2392"/>
      <c r="S14" s="2392"/>
      <c r="T14" s="2392"/>
      <c r="U14" s="2392"/>
      <c r="V14" s="2392"/>
      <c r="W14" s="2392"/>
      <c r="X14" s="2392" t="s">
        <v>342</v>
      </c>
    </row>
    <row customHeight="1" ht="14.25">
      <c r="J15" s="737"/>
      <c r="K15" s="737"/>
      <c r="L15" s="2545" t="s">
        <v>87</v>
      </c>
      <c r="M15" s="2482" t="s">
        <v>467</v>
      </c>
      <c r="N15" s="662"/>
      <c r="O15" s="2546" t="s">
        <v>2205</v>
      </c>
      <c r="P15" s="2547"/>
      <c r="Q15" s="2547"/>
      <c r="R15" s="2547"/>
      <c r="S15" s="2547"/>
      <c r="T15" s="2547"/>
      <c r="U15" s="2548"/>
      <c r="V15" s="2549" t="s">
        <v>469</v>
      </c>
      <c r="W15" s="2552" t="s">
        <v>1117</v>
      </c>
      <c r="X15" s="2392"/>
    </row>
    <row customHeight="1" ht="33.75">
      <c r="J16" s="737"/>
      <c r="K16" s="737"/>
      <c r="L16" s="2545"/>
      <c r="M16" s="2482"/>
      <c r="N16" s="1393"/>
      <c r="O16" s="2555" t="s">
        <v>472</v>
      </c>
      <c r="P16" s="2555" t="s">
        <v>473</v>
      </c>
      <c r="Q16" s="2538" t="s">
        <v>474</v>
      </c>
      <c r="R16" s="2540"/>
      <c r="S16" s="2538" t="s">
        <v>487</v>
      </c>
      <c r="T16" s="2539"/>
      <c r="U16" s="2540"/>
      <c r="V16" s="2550"/>
      <c r="W16" s="2553"/>
      <c r="X16" s="2392"/>
    </row>
    <row customHeight="1" ht="33.75">
      <c r="A17" s="1736" t="s">
        <v>142</v>
      </c>
      <c r="B17" s="1736" t="s">
        <v>143</v>
      </c>
      <c r="C17" s="1736" t="s">
        <v>144</v>
      </c>
      <c r="D17" s="1736" t="s">
        <v>145</v>
      </c>
      <c r="E17" s="1736"/>
      <c r="J17" s="737"/>
      <c r="K17" s="737"/>
      <c r="L17" s="2545"/>
      <c r="M17" s="2482"/>
      <c r="N17" s="663"/>
      <c r="O17" s="2556"/>
      <c r="P17" s="2556"/>
      <c r="Q17" s="1587" t="s">
        <v>483</v>
      </c>
      <c r="R17" s="1587" t="s">
        <v>484</v>
      </c>
      <c r="S17" s="1658" t="s">
        <v>485</v>
      </c>
      <c r="T17" s="2541" t="s">
        <v>486</v>
      </c>
      <c r="U17" s="2542"/>
      <c r="V17" s="2551"/>
      <c r="W17" s="2554"/>
      <c r="X17" s="2392"/>
    </row>
    <row s="32049" customFormat="1" customHeight="1" ht="11.25">
      <c r="A18" s="1736"/>
      <c r="B18" s="1736"/>
      <c r="C18" s="1736"/>
      <c r="D18" s="1736"/>
      <c r="E18" s="1736"/>
      <c r="F18" s="1728"/>
      <c r="G18" s="1728"/>
      <c r="H18" s="1728"/>
      <c r="I18" s="1611"/>
      <c r="J18" s="1612"/>
      <c r="K18" s="1619">
        <v>1</v>
      </c>
      <c r="L18" s="1643" t="s">
        <v>118</v>
      </c>
      <c r="M18" s="1620" t="s">
        <v>102</v>
      </c>
      <c r="N18" s="1610" t="str">
        <f>OFFSET(N18,0,-1)</f>
        <v>2</v>
      </c>
      <c r="O18" s="1655">
        <f>OFFSET(O18,0,-1)+1</f>
        <v>3</v>
      </c>
      <c r="P18" s="1655"/>
      <c r="Q18" s="1655">
        <f>OFFSET(Q18,0,-1)+1</f>
        <v>1</v>
      </c>
      <c r="R18" s="1655">
        <f>OFFSET(R18,0,-1)+1</f>
        <v>2</v>
      </c>
      <c r="S18" s="1655">
        <f>OFFSET(S18,0,-1)+1</f>
        <v>3</v>
      </c>
      <c r="T18" s="2543">
        <f>OFFSET(T18,0,-1)+1</f>
        <v>4</v>
      </c>
      <c r="U18" s="2543"/>
      <c r="V18" s="1655">
        <f>OFFSET(V18,0,-2)+1</f>
        <v>5</v>
      </c>
      <c r="W18" s="1610">
        <f>OFFSET(W18,0,-1)</f>
        <v>5</v>
      </c>
      <c r="X18" s="1655">
        <f>OFFSET(X18,0,-1)+1</f>
        <v>6</v>
      </c>
      <c r="Y18" s="872"/>
      <c r="Z18" s="872"/>
      <c r="AA18" s="872"/>
      <c r="AB18" s="872"/>
      <c r="AC18" s="872"/>
    </row>
    <row customHeight="1" ht="21">
      <c r="A19" s="1729" t="s">
        <v>174</v>
      </c>
      <c r="B19" s="1729" t="s">
        <v>175</v>
      </c>
      <c r="C19" s="1729" t="s">
        <v>176</v>
      </c>
      <c r="D19" s="1729" t="s">
        <v>177</v>
      </c>
      <c r="E19" s="1729"/>
      <c r="F19" s="1731"/>
      <c r="G19" s="1731"/>
      <c r="H19" s="1731"/>
      <c r="I19" s="722"/>
      <c r="J19" s="721"/>
      <c r="K19" s="716"/>
      <c r="L19" s="1659">
        <f>INDEX(PT_DIFFERENTIATION_NUM_NTAR,MATCH(A19,PT_DIFFERENTIATION_NTAR_ID,0))</f>
        <v>0</v>
      </c>
      <c r="M19" s="659" t="s">
        <v>131</v>
      </c>
      <c r="N19" s="661"/>
      <c r="O19" s="2858" t="str">
        <f>INDEX(PT_DIFFERENTIATION_NTAR,MATCH(A19,PT_DIFFERENTIATION_NTAR_ID,0))</f>
        <v/>
      </c>
      <c r="P19" s="2858"/>
      <c r="Q19" s="2858"/>
      <c r="R19" s="2858"/>
      <c r="S19" s="2858"/>
      <c r="T19" s="2858"/>
      <c r="U19" s="2858"/>
      <c r="V19" s="2858"/>
      <c r="W19" s="2858"/>
      <c r="X19" s="1623" t="s">
        <v>437</v>
      </c>
      <c r="Z19" s="861"/>
      <c r="AA19" s="861" t="str">
        <f>IF(M19="","",M19)</f>
        <v>Наименование тарифа</v>
      </c>
      <c r="AB19" s="861"/>
      <c r="AC19" s="861"/>
    </row>
    <row customHeight="1" ht="21">
      <c r="A20" s="1729" t="s">
        <v>174</v>
      </c>
      <c r="B20" s="1729" t="s">
        <v>175</v>
      </c>
      <c r="C20" s="1729" t="s">
        <v>176</v>
      </c>
      <c r="D20" s="1729" t="s">
        <v>177</v>
      </c>
      <c r="E20" s="1729"/>
      <c r="F20" s="1731"/>
      <c r="G20" s="1731"/>
      <c r="H20" s="1731"/>
      <c r="I20" s="1656"/>
      <c r="J20" s="713"/>
      <c r="K20" s="714"/>
      <c r="L20" s="1659" t="str">
        <f>INDEX(PT_DIFFERENTIATION_NUM_TER,MATCH(B19,PT_DIFFERENTIATION_TER_ID,0))</f>
        <v>.</v>
      </c>
      <c r="M20" s="669" t="s">
        <v>438</v>
      </c>
      <c r="N20" s="661"/>
      <c r="O20" s="2858" t="str">
        <f>INDEX(PT_DIFFERENTIATION_TER,MATCH(B19,PT_DIFFERENTIATION_TER_ID,0))</f>
        <v/>
      </c>
      <c r="P20" s="2858"/>
      <c r="Q20" s="2858"/>
      <c r="R20" s="2858"/>
      <c r="S20" s="2858"/>
      <c r="T20" s="2858"/>
      <c r="U20" s="2858"/>
      <c r="V20" s="2858"/>
      <c r="W20" s="2858"/>
      <c r="X20" s="1623" t="s">
        <v>439</v>
      </c>
      <c r="Z20" s="861"/>
      <c r="AA20" s="861" t="str">
        <f>IF(M20="","",M20)</f>
        <v>Территория действия тарифа</v>
      </c>
      <c r="AB20" s="861"/>
      <c r="AC20" s="861"/>
    </row>
    <row customHeight="1" ht="22.5">
      <c r="A21" s="1729" t="s">
        <v>174</v>
      </c>
      <c r="B21" s="1729" t="s">
        <v>175</v>
      </c>
      <c r="C21" s="1729" t="s">
        <v>176</v>
      </c>
      <c r="D21" s="1729" t="s">
        <v>177</v>
      </c>
      <c r="E21" s="1729"/>
      <c r="F21" s="1731"/>
      <c r="G21" s="1731"/>
      <c r="H21" s="1731"/>
      <c r="I21" s="715"/>
      <c r="J21" s="713"/>
      <c r="K21" s="714"/>
      <c r="L21" s="1659" t="str">
        <f>INDEX(PT_DIFFERENTIATION_NUM_CS,MATCH(C19,PT_DIFFERENTIATION_CS_ID,0))</f>
        <v>..</v>
      </c>
      <c r="M21" s="670" t="s">
        <v>440</v>
      </c>
      <c r="N21" s="661"/>
      <c r="O21" s="2858" t="str">
        <f>INDEX(PT_DIFFERENTIATION_CS,MATCH(C19,PT_DIFFERENTIATION_CS_ID,0))</f>
        <v/>
      </c>
      <c r="P21" s="2858"/>
      <c r="Q21" s="2858"/>
      <c r="R21" s="2858"/>
      <c r="S21" s="2858"/>
      <c r="T21" s="2858"/>
      <c r="U21" s="2858"/>
      <c r="V21" s="2858"/>
      <c r="W21" s="2858"/>
      <c r="X21" s="1623" t="s">
        <v>441</v>
      </c>
      <c r="Z21" s="861"/>
      <c r="AA21" s="861" t="str">
        <f>IF(M21="","",M21)</f>
        <v>Наименование системы теплоснабжения </v>
      </c>
      <c r="AB21" s="861"/>
      <c r="AC21" s="861"/>
    </row>
    <row customHeight="1" ht="21">
      <c r="A22" s="1729" t="s">
        <v>174</v>
      </c>
      <c r="B22" s="1729" t="s">
        <v>175</v>
      </c>
      <c r="C22" s="1729" t="s">
        <v>176</v>
      </c>
      <c r="D22" s="1729" t="s">
        <v>177</v>
      </c>
      <c r="E22" s="1729"/>
      <c r="F22" s="1731"/>
      <c r="G22" s="1731"/>
      <c r="H22" s="1731"/>
      <c r="I22" s="715"/>
      <c r="J22" s="713"/>
      <c r="K22" s="714"/>
      <c r="L22" s="1659" t="str">
        <f>INDEX(PT_DIFFERENTIATION_NUM_IST_TE,MATCH(D19,PT_DIFFERENTIATION_IST_TE_ID,0))</f>
        <v>...</v>
      </c>
      <c r="M22" s="671" t="s">
        <v>442</v>
      </c>
      <c r="N22" s="661"/>
      <c r="O22" s="2858" t="str">
        <f>INDEX(PT_DIFFERENTIATION_IST_TE,MATCH(D19,PT_DIFFERENTIATION_IST_TE_ID,0))</f>
        <v/>
      </c>
      <c r="P22" s="2858"/>
      <c r="Q22" s="2858"/>
      <c r="R22" s="2858"/>
      <c r="S22" s="2858"/>
      <c r="T22" s="2858"/>
      <c r="U22" s="2858"/>
      <c r="V22" s="2858"/>
      <c r="W22" s="2858"/>
      <c r="X22" s="1623" t="s">
        <v>443</v>
      </c>
      <c r="Z22" s="861"/>
      <c r="AA22" s="861" t="str">
        <f>IF(M22="","",M22)</f>
        <v>Источник тепловой энергии  </v>
      </c>
      <c r="AB22" s="861"/>
      <c r="AC22" s="861"/>
    </row>
    <row customHeight="1" ht="94.5">
      <c r="A23" s="1729" t="s">
        <v>174</v>
      </c>
      <c r="B23" s="1729" t="s">
        <v>175</v>
      </c>
      <c r="C23" s="1729" t="s">
        <v>176</v>
      </c>
      <c r="D23" s="1729" t="s">
        <v>177</v>
      </c>
      <c r="E23" s="1729"/>
      <c r="F23" s="2859" t="str">
        <f>L22&amp;".1"</f>
        <v>....1</v>
      </c>
      <c r="I23" s="2531">
        <v>1</v>
      </c>
      <c r="J23" s="1657"/>
      <c r="K23" s="717"/>
      <c r="L23" s="1659" t="str">
        <f>$F$23</f>
        <v>....1</v>
      </c>
      <c r="M23" s="646" t="s">
        <v>445</v>
      </c>
      <c r="N23" s="661"/>
      <c r="O23" s="2860"/>
      <c r="P23" s="2860"/>
      <c r="Q23" s="2860"/>
      <c r="R23" s="2860"/>
      <c r="S23" s="2860"/>
      <c r="T23" s="2860"/>
      <c r="U23" s="2860"/>
      <c r="V23" s="2860"/>
      <c r="W23" s="2860"/>
      <c r="X23" s="1623" t="s">
        <v>446</v>
      </c>
      <c r="Z23" s="861"/>
      <c r="AA23" s="861" t="str">
        <f>IF(M23="","",M23)</f>
        <v>Схема подключения теплопотребляющей установки к коллектору источника тепловой энергии</v>
      </c>
      <c r="AB23" s="861"/>
      <c r="AC23" s="861"/>
    </row>
    <row customHeight="1" ht="84">
      <c r="A24" s="1729" t="s">
        <v>174</v>
      </c>
      <c r="B24" s="1729" t="s">
        <v>175</v>
      </c>
      <c r="C24" s="1729" t="s">
        <v>176</v>
      </c>
      <c r="D24" s="1729" t="s">
        <v>177</v>
      </c>
      <c r="E24" s="1729"/>
      <c r="F24" s="2859"/>
      <c r="G24" s="2502" t="str">
        <f>F23&amp;".1"</f>
        <v>....1.1</v>
      </c>
      <c r="I24" s="2531"/>
      <c r="J24" s="2531">
        <v>1</v>
      </c>
      <c r="K24" s="718"/>
      <c r="L24" s="1659" t="str">
        <f>$G$24</f>
        <v>....1.1</v>
      </c>
      <c r="M24" s="647" t="s">
        <v>448</v>
      </c>
      <c r="N24" s="661"/>
      <c r="O24" s="2861"/>
      <c r="P24" s="2862"/>
      <c r="Q24" s="2862"/>
      <c r="R24" s="2862"/>
      <c r="S24" s="2862"/>
      <c r="T24" s="2862"/>
      <c r="U24" s="2862"/>
      <c r="V24" s="2862"/>
      <c r="W24" s="2863"/>
      <c r="X24" s="1623" t="s">
        <v>449</v>
      </c>
      <c r="Z24" s="861"/>
      <c r="AA24" s="861" t="str">
        <f>IF(M24="","",M24)</f>
        <v>Группа потребителей</v>
      </c>
      <c r="AB24" s="861"/>
      <c r="AC24" s="861"/>
    </row>
    <row customHeight="1" ht="11.25">
      <c r="A25" s="1729" t="s">
        <v>174</v>
      </c>
      <c r="B25" s="1729" t="s">
        <v>175</v>
      </c>
      <c r="C25" s="1729" t="s">
        <v>176</v>
      </c>
      <c r="D25" s="1729" t="s">
        <v>177</v>
      </c>
      <c r="E25" s="1729"/>
      <c r="F25" s="2859"/>
      <c r="G25" s="2502"/>
      <c r="H25" s="2502" t="str">
        <f>G24&amp;".1"</f>
        <v>....1.1.1</v>
      </c>
      <c r="I25" s="2531"/>
      <c r="J25" s="2531"/>
      <c r="K25" s="718">
        <v>1</v>
      </c>
      <c r="L25" s="1659" t="str">
        <f>$H$25</f>
        <v>....1.1.1</v>
      </c>
      <c r="M25" s="1624"/>
      <c r="N25" s="661"/>
      <c r="O25" s="1112"/>
      <c r="P25" s="686"/>
      <c r="Q25" s="1112"/>
      <c r="R25" s="1622"/>
      <c r="S25" s="2867"/>
      <c r="T25" s="2402" t="s">
        <v>66</v>
      </c>
      <c r="U25" s="2867"/>
      <c r="V25" s="2402" t="s">
        <v>56</v>
      </c>
      <c r="W25" s="686"/>
      <c r="X25" s="2557" t="s">
        <v>451</v>
      </c>
      <c r="Y25" s="872">
        <f>STRCHECKDATE(O26:W26)</f>
      </c>
      <c r="Z25" s="861"/>
      <c r="AA25" s="861" t="str">
        <f>IF(M25="","",M25)</f>
        <v/>
      </c>
      <c r="AB25" s="861"/>
      <c r="AC25" s="861"/>
    </row>
    <row customHeight="1" ht="11.25">
      <c r="A26" s="1729" t="s">
        <v>174</v>
      </c>
      <c r="B26" s="1729" t="s">
        <v>175</v>
      </c>
      <c r="C26" s="1729" t="s">
        <v>176</v>
      </c>
      <c r="D26" s="1729" t="s">
        <v>177</v>
      </c>
      <c r="E26" s="1729"/>
      <c r="F26" s="2859"/>
      <c r="G26" s="2502"/>
      <c r="H26" s="2502"/>
      <c r="I26" s="2531"/>
      <c r="J26" s="2531"/>
      <c r="K26" s="718"/>
      <c r="L26" s="1660"/>
      <c r="M26" s="661"/>
      <c r="N26" s="661"/>
      <c r="O26" s="686"/>
      <c r="P26" s="686"/>
      <c r="Q26" s="686"/>
      <c r="R26" s="689" t="str">
        <f>S25&amp;"-"&amp;U25</f>
        <v>-</v>
      </c>
      <c r="S26" s="2533"/>
      <c r="T26" s="2402"/>
      <c r="U26" s="2533"/>
      <c r="V26" s="2402"/>
      <c r="W26" s="686"/>
      <c r="X26" s="2558"/>
      <c r="Z26" s="861"/>
      <c r="AA26" s="861" t="str">
        <f>IF(M26="","",M26)</f>
        <v/>
      </c>
      <c r="AB26" s="861"/>
      <c r="AC26" s="861"/>
    </row>
    <row customHeight="1" ht="15">
      <c r="A27" s="1729" t="s">
        <v>174</v>
      </c>
      <c r="B27" s="1729" t="s">
        <v>175</v>
      </c>
      <c r="C27" s="1729" t="s">
        <v>176</v>
      </c>
      <c r="D27" s="1729" t="s">
        <v>177</v>
      </c>
      <c r="E27" s="1729"/>
      <c r="F27" s="2859"/>
      <c r="G27" s="2502"/>
      <c r="I27" s="2531"/>
      <c r="J27" s="2531"/>
      <c r="K27" s="717"/>
      <c r="L27" s="1644"/>
      <c r="M27" s="649" t="s">
        <v>452</v>
      </c>
      <c r="N27" s="728"/>
      <c r="O27" s="728"/>
      <c r="P27" s="728"/>
      <c r="Q27" s="728"/>
      <c r="R27" s="728"/>
      <c r="S27" s="728"/>
      <c r="T27" s="728"/>
      <c r="U27" s="728"/>
      <c r="V27" s="728"/>
      <c r="W27" s="685"/>
      <c r="X27" s="2559"/>
      <c r="Z27" s="861"/>
      <c r="AA27" s="861" t="str">
        <f>IF(M27="","",M27)</f>
        <v>Добавить вид теплоносителя (параметры теплоносителя)</v>
      </c>
      <c r="AB27" s="861"/>
      <c r="AC27" s="861"/>
    </row>
    <row customHeight="1" ht="15">
      <c r="A28" s="1729" t="s">
        <v>174</v>
      </c>
      <c r="B28" s="1729" t="s">
        <v>175</v>
      </c>
      <c r="C28" s="1729" t="s">
        <v>176</v>
      </c>
      <c r="D28" s="1729" t="s">
        <v>177</v>
      </c>
      <c r="E28" s="1729"/>
      <c r="F28" s="2859"/>
      <c r="I28" s="2531"/>
      <c r="J28" s="1657"/>
      <c r="K28" s="717"/>
      <c r="L28" s="1644"/>
      <c r="M28" s="648" t="s">
        <v>453</v>
      </c>
      <c r="N28" s="728"/>
      <c r="O28" s="728"/>
      <c r="P28" s="728"/>
      <c r="Q28" s="728"/>
      <c r="R28" s="728"/>
      <c r="S28" s="728"/>
      <c r="T28" s="728"/>
      <c r="U28" s="728"/>
      <c r="V28" s="727"/>
      <c r="W28" s="728"/>
      <c r="X28" s="664"/>
      <c r="Z28" s="861"/>
      <c r="AA28" s="861" t="str">
        <f>IF(M28="","",M28)</f>
        <v>Добавить группу потребителей</v>
      </c>
      <c r="AB28" s="861"/>
      <c r="AC28" s="861"/>
    </row>
    <row customHeight="1" ht="14.25">
      <c r="A29" s="1729" t="s">
        <v>174</v>
      </c>
      <c r="B29" s="1729" t="s">
        <v>175</v>
      </c>
      <c r="C29" s="1729" t="s">
        <v>176</v>
      </c>
      <c r="D29" s="1729" t="s">
        <v>177</v>
      </c>
      <c r="E29" s="1729"/>
      <c r="F29" s="1731"/>
      <c r="G29" s="1731"/>
      <c r="H29" s="898"/>
      <c r="I29" s="721"/>
      <c r="J29" s="736"/>
      <c r="K29" s="716"/>
      <c r="L29" s="1644"/>
      <c r="M29" s="726" t="s">
        <v>454</v>
      </c>
      <c r="N29" s="728"/>
      <c r="O29" s="728"/>
      <c r="P29" s="728"/>
      <c r="Q29" s="728"/>
      <c r="R29" s="728"/>
      <c r="S29" s="728"/>
      <c r="T29" s="728"/>
      <c r="U29" s="728"/>
      <c r="V29" s="727"/>
      <c r="W29" s="728"/>
      <c r="X29" s="664"/>
      <c r="Z29" s="861"/>
      <c r="AA29" s="861" t="str">
        <f>IF(M29="","",M29)</f>
        <v>Добавить схему подключения</v>
      </c>
      <c r="AB29" s="861"/>
      <c r="AC29" s="861"/>
    </row>
    <row customHeight="1" ht="14.25">
      <c r="A30" s="1729" t="s">
        <v>174</v>
      </c>
      <c r="B30" s="1729" t="s">
        <v>175</v>
      </c>
      <c r="C30" s="1729" t="s">
        <v>176</v>
      </c>
      <c r="D30" s="1729"/>
      <c r="E30" s="1729" t="s">
        <v>627</v>
      </c>
      <c r="F30" s="1731"/>
      <c r="G30" s="1731"/>
      <c r="H30" s="898"/>
      <c r="I30" s="721"/>
      <c r="J30" s="736"/>
      <c r="K30" s="716"/>
      <c r="L30" s="1645"/>
      <c r="M30" s="1634"/>
      <c r="N30" s="1635"/>
      <c r="O30" s="1635"/>
      <c r="P30" s="1635"/>
      <c r="Q30" s="1635"/>
      <c r="R30" s="1635"/>
      <c r="S30" s="1635"/>
      <c r="T30" s="1635"/>
      <c r="U30" s="1635"/>
      <c r="V30" s="1636"/>
      <c r="W30" s="1635"/>
      <c r="X30" s="1637"/>
      <c r="Z30" s="861"/>
      <c r="AA30" s="861" t="str">
        <f>IF(M30="","",M30)</f>
        <v/>
      </c>
      <c r="AB30" s="861"/>
      <c r="AC30" s="861"/>
    </row>
    <row customHeight="1" ht="14.25">
      <c r="A31" s="1729" t="s">
        <v>174</v>
      </c>
      <c r="B31" s="1729" t="s">
        <v>175</v>
      </c>
      <c r="C31" s="1729"/>
      <c r="D31" s="1729"/>
      <c r="E31" s="1729" t="s">
        <v>2206</v>
      </c>
      <c r="F31" s="1883"/>
      <c r="G31" s="1883"/>
      <c r="H31" s="898"/>
      <c r="I31" s="719"/>
      <c r="J31" s="736"/>
      <c r="K31" s="720"/>
      <c r="L31" s="1645"/>
      <c r="M31" s="1638"/>
      <c r="N31" s="1635"/>
      <c r="O31" s="1635"/>
      <c r="P31" s="1635"/>
      <c r="Q31" s="1635"/>
      <c r="R31" s="1635"/>
      <c r="S31" s="1635"/>
      <c r="T31" s="1635"/>
      <c r="U31" s="1635"/>
      <c r="V31" s="1636"/>
      <c r="W31" s="1635"/>
      <c r="X31" s="1637"/>
      <c r="Z31" s="861"/>
      <c r="AA31" s="861" t="str">
        <f>IF(M31="","",M31)</f>
        <v/>
      </c>
      <c r="AB31" s="861"/>
      <c r="AC31" s="861"/>
    </row>
    <row customHeight="1" ht="14.25">
      <c r="A32" s="1729" t="s">
        <v>2207</v>
      </c>
      <c r="B32" s="1729"/>
      <c r="C32" s="1729"/>
      <c r="D32" s="1729"/>
      <c r="E32" s="1729" t="s">
        <v>113</v>
      </c>
      <c r="F32" s="1883"/>
      <c r="G32" s="1883"/>
      <c r="H32" s="898"/>
      <c r="I32" s="721"/>
      <c r="J32" s="736"/>
      <c r="K32" s="716"/>
      <c r="L32" s="1645"/>
      <c r="M32" s="1639"/>
      <c r="N32" s="1635"/>
      <c r="O32" s="1635"/>
      <c r="P32" s="1635"/>
      <c r="Q32" s="1635"/>
      <c r="R32" s="1635"/>
      <c r="S32" s="1635"/>
      <c r="T32" s="1635"/>
      <c r="U32" s="1635"/>
      <c r="V32" s="1636"/>
      <c r="W32" s="1635"/>
      <c r="X32" s="1637"/>
      <c r="Z32" s="861"/>
      <c r="AA32" s="861" t="str">
        <f>IF(M32="","",M32)</f>
        <v/>
      </c>
      <c r="AB32" s="861"/>
      <c r="AC32" s="861"/>
    </row>
    <row s="38093" customFormat="1" customHeight="1" ht="11.25">
      <c r="A33" s="1729"/>
      <c r="B33" s="1729"/>
      <c r="C33" s="1729"/>
      <c r="D33" s="1729"/>
      <c r="E33" s="1729" t="s">
        <v>294</v>
      </c>
      <c r="F33" s="1884"/>
      <c r="G33" s="1885"/>
      <c r="H33" s="898"/>
      <c r="L33" s="1646"/>
      <c r="M33" s="1640"/>
      <c r="N33" s="1635"/>
      <c r="O33" s="1635"/>
      <c r="P33" s="1635"/>
      <c r="Q33" s="1635"/>
      <c r="R33" s="1635"/>
      <c r="S33" s="1635"/>
      <c r="T33" s="1635"/>
      <c r="U33" s="1635"/>
      <c r="V33" s="1636"/>
      <c r="W33" s="1635"/>
      <c r="X33" s="1637"/>
      <c r="Y33" s="740"/>
      <c r="Z33" s="740"/>
      <c r="AA33" s="740"/>
      <c r="AB33" s="740"/>
      <c r="AC33" s="740"/>
    </row>
    <row customHeight="1" ht="11.25">
      <c r="F34" s="1523"/>
      <c r="G34" s="1523"/>
      <c r="H34" s="898"/>
      <c r="I34" s="1518"/>
      <c r="J34" s="1518"/>
      <c r="K34" s="1518"/>
      <c r="Y34" s="1518"/>
      <c r="Z34" s="1518"/>
      <c r="AA34" s="1518"/>
      <c r="AB34" s="1518"/>
      <c r="AC34" s="1518"/>
    </row>
    <row customHeight="1" ht="27">
      <c r="H35" s="898"/>
      <c r="L35" s="1654" t="s">
        <v>759</v>
      </c>
      <c r="M35" s="2526" t="s">
        <v>2208</v>
      </c>
      <c r="N35" s="2526"/>
      <c r="O35" s="2526"/>
      <c r="P35" s="2526"/>
      <c r="Q35" s="2526"/>
      <c r="R35" s="2526"/>
      <c r="S35" s="2526"/>
      <c r="T35" s="2526"/>
      <c r="U35" s="2526"/>
      <c r="V35" s="2526"/>
      <c r="W35" s="2526"/>
      <c r="X35" s="2526"/>
    </row>
    <row customHeight="1" ht="104.25">
      <c r="H36" s="898"/>
      <c r="I36" s="1669"/>
      <c r="M36" s="2526" t="s">
        <v>2209</v>
      </c>
      <c r="N36" s="2526"/>
      <c r="O36" s="2526"/>
      <c r="P36" s="2526"/>
      <c r="Q36" s="2526"/>
      <c r="R36" s="2526"/>
      <c r="S36" s="2526"/>
      <c r="T36" s="2526"/>
      <c r="U36" s="2526"/>
      <c r="V36" s="2526"/>
      <c r="W36" s="2526"/>
      <c r="X36" s="2526"/>
    </row>
    <row customHeight="1" ht="14.25">
      <c r="H37" s="898"/>
    </row>
    <row customHeight="1" ht="14.25">
      <c r="H38" s="898"/>
    </row>
    <row customHeight="1" ht="14.25">
      <c r="H39" s="898"/>
    </row>
    <row customHeight="1" ht="14.25">
      <c r="H40" s="898"/>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77DE3-72AA-CC35-122A-25AB3006B5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72188-B577-1886-B671-B8BF85BEE1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5F1B3A-AE98-5AC4-9D7C-12B794BF87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F3199-DE66-488D-5C09-3233EF84BF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8A9AE-CEC8-9365-D108-E644EDBF15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EB8CB-0791-7BC6-952F-BB17B2D2A1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96F4E-964E-58CB-A6FF-8F1A5884DC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B60BC-259B-189F-C126-65BD34DD7B6D}" mc:Ignorable="x14ac xr xr2 xr3">
  <sheetPr>
    <tabColor theme="3" tint="0.6"/>
  </sheetPr>
  <dimension ref="A1:I59"/>
  <sheetViews>
    <sheetView topLeftCell="A1" showGridLines="0" zoomScale="90" workbookViewId="0">
      <selection activeCell="A1" sqref="A1"/>
    </sheetView>
  </sheetViews>
  <sheetFormatPr defaultColWidth="9.140625" customHeight="1" defaultRowHeight="11.25"/>
  <cols>
    <col min="1" max="1" style="32005" width="15.00390625" hidden="1" customWidth="1"/>
    <col min="2" max="2" style="31964" width="15.00390625" hidden="1" customWidth="1"/>
    <col min="3" max="3" style="32006" width="3.7109375" customWidth="1"/>
    <col min="4" max="4" style="32007" width="6.8515625" customWidth="1"/>
    <col min="5" max="5" style="32006" width="52.28125" customWidth="1"/>
    <col min="6" max="6" style="32006" width="48.8515625" customWidth="1"/>
    <col min="7" max="7" style="32006" width="121.7109375" customWidth="1"/>
    <col min="8" max="8" style="32006" width="9.140625"/>
    <col min="9" max="9" style="32006" width="65.00390625" customWidth="1"/>
  </cols>
  <sheetData>
    <row customHeight="1" ht="11.25" hidden="1">
      <c r="A1" s="2052" t="s">
        <v>340</v>
      </c>
    </row>
    <row customHeight="1" ht="11.25" hidden="1"/>
    <row s="31923" customFormat="1" customHeight="1" ht="11.25">
      <c r="A3" s="2052"/>
      <c r="B3" s="862"/>
      <c r="D3" s="839"/>
    </row>
    <row customHeight="1" ht="25.5">
      <c r="D4" s="2440" t="str">
        <f>ORG_INFO_NAME_FORM</f>
        <v>Форма 1. Информация об организации, осуществляющей горячее водоснабжение (общая информация)</v>
      </c>
      <c r="E4" s="2441"/>
      <c r="F4" s="2442"/>
      <c r="I4" s="1076"/>
    </row>
    <row customHeight="1" ht="17.25">
      <c r="D5" s="2474" t="str">
        <f>IF(org=0,"Не определено",org)</f>
        <v>АО "Мурманэнергосбыт"</v>
      </c>
      <c r="E5" s="2474"/>
      <c r="F5" s="2474"/>
      <c r="I5" s="1076"/>
    </row>
    <row s="31923" customFormat="1" customHeight="1" ht="11.25">
      <c r="A6" s="2052"/>
      <c r="B6" s="862"/>
      <c r="D6" s="1075"/>
      <c r="E6" s="1075"/>
      <c r="F6" s="1113"/>
      <c r="G6" s="1075"/>
    </row>
    <row customHeight="1" ht="11.25" hidden="1">
      <c r="A7" s="818"/>
      <c r="B7" s="863"/>
      <c r="C7" s="818"/>
      <c r="D7" s="824"/>
      <c r="E7" s="2480"/>
      <c r="F7" s="2480"/>
    </row>
    <row customHeight="1" ht="11.25">
      <c r="A8" s="818"/>
      <c r="B8" s="863"/>
      <c r="C8" s="818"/>
      <c r="D8" s="2477" t="s">
        <v>341</v>
      </c>
      <c r="E8" s="2478"/>
      <c r="F8" s="2478"/>
      <c r="G8" s="2481" t="s">
        <v>342</v>
      </c>
    </row>
    <row customHeight="1" ht="11.25">
      <c r="A9" s="818"/>
      <c r="B9" s="863"/>
      <c r="C9" s="818"/>
      <c r="D9" s="833" t="s">
        <v>87</v>
      </c>
      <c r="E9" s="807" t="s">
        <v>343</v>
      </c>
      <c r="F9" s="807" t="s">
        <v>344</v>
      </c>
      <c r="G9" s="2482"/>
    </row>
    <row customHeight="1" ht="12" hidden="1">
      <c r="A10" s="818"/>
      <c r="B10" s="863"/>
      <c r="C10" s="818"/>
      <c r="D10" s="825"/>
      <c r="E10" s="825"/>
      <c r="F10" s="825"/>
      <c r="G10" s="825"/>
    </row>
    <row customHeight="1" ht="22.5" hidden="1">
      <c r="A11" s="818"/>
      <c r="B11" s="863"/>
      <c r="C11" s="818"/>
      <c r="D11" s="1371" t="s">
        <v>118</v>
      </c>
      <c r="E11" s="1374" t="s">
        <v>345</v>
      </c>
      <c r="F11" s="1373" t="str">
        <f>IF(region_name="","",region_name)</f>
        <v>Мурманская область</v>
      </c>
      <c r="G11" s="1374" t="s">
        <v>346</v>
      </c>
      <c r="H11" s="836"/>
    </row>
    <row customHeight="1" ht="22.5" hidden="1">
      <c r="A12" s="818"/>
      <c r="B12" s="863"/>
      <c r="C12" s="818"/>
      <c r="D12" s="806" t="s">
        <v>118</v>
      </c>
      <c r="E12" s="80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804" t="s">
        <v>347</v>
      </c>
      <c r="G12" s="835"/>
      <c r="H12" s="836"/>
    </row>
    <row customHeight="1" ht="22.5">
      <c r="A13" s="818"/>
      <c r="B13" s="863"/>
      <c r="C13" s="818"/>
      <c r="D13" s="806" t="s">
        <v>118</v>
      </c>
      <c r="E13" s="803" t="str">
        <f>"Наименование юридического лица"&amp;IF(TEMPLATE_SPHERE="TKO"," (индивидуального предпринимателя)","")</f>
        <v>Наименование юридического лица</v>
      </c>
      <c r="F13" s="802"/>
      <c r="G13" s="80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836"/>
    </row>
    <row customHeight="1" ht="22.5" hidden="1">
      <c r="A14" s="818"/>
      <c r="B14" s="863"/>
      <c r="C14" s="818"/>
      <c r="D14" s="1371" t="s">
        <v>348</v>
      </c>
      <c r="E14" s="1372" t="s">
        <v>349</v>
      </c>
      <c r="F14" s="1373" t="str">
        <f>IF(inn="","",inn)</f>
        <v>5190907139</v>
      </c>
      <c r="G14" s="1374" t="s">
        <v>350</v>
      </c>
      <c r="H14" s="836"/>
    </row>
    <row customHeight="1" ht="22.5" hidden="1">
      <c r="A15" s="818"/>
      <c r="B15" s="863"/>
      <c r="C15" s="818"/>
      <c r="D15" s="1371" t="s">
        <v>351</v>
      </c>
      <c r="E15" s="1372" t="s">
        <v>352</v>
      </c>
      <c r="F15" s="1373" t="str">
        <f>IF(kpp="","",kpp)</f>
        <v>519001001</v>
      </c>
      <c r="G15" s="1374" t="s">
        <v>353</v>
      </c>
      <c r="H15" s="836"/>
    </row>
    <row customHeight="1" ht="36.75">
      <c r="A16" s="818"/>
      <c r="B16" s="863"/>
      <c r="C16" s="818"/>
      <c r="D16" s="806" t="s">
        <v>102</v>
      </c>
      <c r="E16" s="80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802"/>
      <c r="G16" s="80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836"/>
    </row>
    <row customHeight="1" ht="22.5">
      <c r="A17" s="818"/>
      <c r="B17" s="863"/>
      <c r="C17" s="818"/>
      <c r="D17" s="806" t="s">
        <v>89</v>
      </c>
      <c r="E17" s="803" t="str">
        <f>"Дата присвоения ОГРН"&amp;IF(TEMPLATE_SPHERE="TKO",""," (ОГРНИП)")</f>
        <v>Дата присвоения ОГРН (ОГРНИП)</v>
      </c>
      <c r="F17" s="2098" t="s">
        <v>24</v>
      </c>
      <c r="G17" s="805" t="str">
        <f>"Дата присвоения ОГРН"&amp;IF(TEMPLATE_SPHERE="TKO",""," (ОГРНИП)")&amp;" указывается в виде «ДД.ММ.ГГГГ»."</f>
        <v>Дата присвоения ОГРН (ОГРНИП) указывается в виде «ДД.ММ.ГГГГ».</v>
      </c>
      <c r="H17" s="836"/>
    </row>
    <row customHeight="1" ht="56.25">
      <c r="A18" s="818"/>
      <c r="B18" s="863"/>
      <c r="C18" s="818"/>
      <c r="D18" s="806" t="s">
        <v>90</v>
      </c>
      <c r="E18" s="80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802"/>
      <c r="G18" s="835"/>
      <c r="H18" s="836"/>
    </row>
    <row customHeight="1" ht="22.5" hidden="1">
      <c r="A19" s="2475" t="s">
        <v>354</v>
      </c>
      <c r="B19" s="863"/>
      <c r="C19" s="2486"/>
      <c r="D19" s="806" t="str">
        <f>A19</f>
        <v>5.1</v>
      </c>
      <c r="E19" s="803" t="s">
        <v>355</v>
      </c>
      <c r="F19" s="804" t="s">
        <v>347</v>
      </c>
      <c r="G19" s="805" t="s">
        <v>356</v>
      </c>
      <c r="H19" s="836"/>
      <c r="I19" s="1213"/>
    </row>
    <row customHeight="1" ht="24" hidden="1">
      <c r="A20" s="2475"/>
      <c r="B20" s="863"/>
      <c r="C20" s="2486"/>
      <c r="D20" s="801" t="str">
        <f>D19&amp;".1"</f>
        <v>5.1.1</v>
      </c>
      <c r="E20" s="800" t="s">
        <v>357</v>
      </c>
      <c r="F20" s="1242" t="s">
        <v>24</v>
      </c>
      <c r="G20" s="835"/>
      <c r="H20" s="836"/>
      <c r="I20" s="1213"/>
    </row>
    <row customHeight="1" ht="22.5" hidden="1">
      <c r="A21" s="2475"/>
      <c r="B21" s="863"/>
      <c r="C21" s="2486"/>
      <c r="D21" s="801" t="str">
        <f>D19&amp;".2"</f>
        <v>5.1.2</v>
      </c>
      <c r="E21" s="800" t="s">
        <v>358</v>
      </c>
      <c r="F21" s="2099" t="s">
        <v>24</v>
      </c>
      <c r="G21" s="805" t="s">
        <v>359</v>
      </c>
      <c r="H21" s="836"/>
      <c r="I21" s="1213"/>
    </row>
    <row customHeight="1" ht="22.5" hidden="1">
      <c r="A22" s="2475"/>
      <c r="B22" s="863"/>
      <c r="C22" s="2486"/>
      <c r="D22" s="801" t="str">
        <f>D19&amp;".3"</f>
        <v>5.1.3</v>
      </c>
      <c r="E22" s="800" t="s">
        <v>360</v>
      </c>
      <c r="F22" s="1242" t="s">
        <v>24</v>
      </c>
      <c r="G22" s="835"/>
      <c r="H22" s="836"/>
      <c r="I22" s="1213"/>
    </row>
    <row customHeight="1" ht="22.5" hidden="1">
      <c r="A23" s="2475"/>
      <c r="B23" s="863"/>
      <c r="C23" s="2486"/>
      <c r="D23" s="801" t="str">
        <f>D19&amp;".4"</f>
        <v>5.1.4</v>
      </c>
      <c r="E23" s="800" t="s">
        <v>361</v>
      </c>
      <c r="F23" s="1242" t="s">
        <v>24</v>
      </c>
      <c r="G23" s="805" t="s">
        <v>362</v>
      </c>
      <c r="H23" s="836"/>
      <c r="I23" s="1213"/>
    </row>
    <row customHeight="1" ht="22.5" hidden="1">
      <c r="A24" s="2346"/>
      <c r="B24" s="863"/>
      <c r="C24" s="853"/>
      <c r="D24" s="828"/>
      <c r="E24" s="1531" t="s">
        <v>363</v>
      </c>
      <c r="F24" s="829"/>
      <c r="G24" s="830"/>
      <c r="H24" s="836"/>
      <c r="I24" s="1213"/>
    </row>
    <row s="31964" customFormat="1" customHeight="1" ht="24.75" hidden="1">
      <c r="A25" s="818"/>
      <c r="B25" s="863"/>
      <c r="C25" s="863"/>
      <c r="D25" s="1368" t="s">
        <v>89</v>
      </c>
      <c r="E25" s="1370" t="s">
        <v>364</v>
      </c>
      <c r="F25" s="1375" t="s">
        <v>347</v>
      </c>
      <c r="G25" s="1370"/>
    </row>
    <row s="31964" customFormat="1" customHeight="1" ht="11.25" hidden="1">
      <c r="A26" s="818"/>
      <c r="B26" s="863"/>
      <c r="C26" s="863"/>
      <c r="D26" s="1368" t="s">
        <v>365</v>
      </c>
      <c r="E26" s="1369" t="s">
        <v>366</v>
      </c>
      <c r="F26" s="1375" t="s">
        <v>347</v>
      </c>
      <c r="G26" s="1370"/>
    </row>
    <row s="31964" customFormat="1" customHeight="1" ht="11.25" hidden="1">
      <c r="A27" s="818"/>
      <c r="B27" s="863"/>
      <c r="C27" s="863"/>
      <c r="D27" s="1368" t="s">
        <v>367</v>
      </c>
      <c r="E27" s="1376" t="s">
        <v>368</v>
      </c>
      <c r="F27" s="1377"/>
      <c r="G27" s="137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31964" customFormat="1" customHeight="1" ht="11.25" hidden="1">
      <c r="A28" s="818"/>
      <c r="B28" s="863"/>
      <c r="C28" s="863"/>
      <c r="D28" s="1368" t="s">
        <v>369</v>
      </c>
      <c r="E28" s="1376" t="s">
        <v>370</v>
      </c>
      <c r="F28" s="1377"/>
      <c r="G28" s="137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31964" customFormat="1" customHeight="1" ht="11.25" hidden="1">
      <c r="A29" s="818"/>
      <c r="B29" s="863"/>
      <c r="C29" s="863"/>
      <c r="D29" s="1368" t="s">
        <v>371</v>
      </c>
      <c r="E29" s="1376" t="s">
        <v>372</v>
      </c>
      <c r="F29" s="1377"/>
      <c r="G29" s="137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row>
    <row s="31964" customFormat="1" customHeight="1" ht="11.25" hidden="1">
      <c r="A30" s="818"/>
      <c r="B30" s="863"/>
      <c r="C30" s="863"/>
      <c r="D30" s="1368" t="s">
        <v>373</v>
      </c>
      <c r="E30" s="1369" t="s">
        <v>374</v>
      </c>
      <c r="F30" s="1377"/>
      <c r="G30" s="1370"/>
    </row>
    <row s="31964" customFormat="1" customHeight="1" ht="11.25" hidden="1">
      <c r="A31" s="818"/>
      <c r="B31" s="863"/>
      <c r="C31" s="863"/>
      <c r="D31" s="1368" t="s">
        <v>375</v>
      </c>
      <c r="E31" s="1369" t="s">
        <v>376</v>
      </c>
      <c r="F31" s="1377"/>
      <c r="G31" s="1370"/>
    </row>
    <row s="31964" customFormat="1" customHeight="1" ht="11.25" hidden="1">
      <c r="A32" s="818"/>
      <c r="B32" s="863"/>
      <c r="C32" s="863"/>
      <c r="D32" s="1368" t="s">
        <v>377</v>
      </c>
      <c r="E32" s="1369" t="s">
        <v>378</v>
      </c>
      <c r="F32" s="1378"/>
      <c r="G32" s="1370"/>
    </row>
    <row customHeight="1" ht="22.5">
      <c r="A33" s="818" t="str">
        <f>IF(TEMPLATE_SPHERE="HEAT","6","5")</f>
        <v>5</v>
      </c>
      <c r="B33" s="863"/>
      <c r="C33" s="818"/>
      <c r="D33" s="801" t="str">
        <f>A33</f>
        <v>5</v>
      </c>
      <c r="E33" s="79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804" t="s">
        <v>347</v>
      </c>
      <c r="G33" s="835"/>
      <c r="H33" s="836"/>
    </row>
    <row customHeight="1" ht="22.5">
      <c r="A34" s="818"/>
      <c r="B34" s="863"/>
      <c r="C34" s="818"/>
      <c r="D34" s="801" t="str">
        <f>D33&amp;".1"</f>
        <v>5.1</v>
      </c>
      <c r="E34" s="803" t="str">
        <f>"фамилия"&amp;IF(TEMPLATE_SPHERE&lt;&gt;"HEAT"," руководителя","")</f>
        <v>фамилия руководителя</v>
      </c>
      <c r="F34" s="802"/>
      <c r="G34" s="80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836"/>
    </row>
    <row customHeight="1" ht="22.5">
      <c r="A35" s="818"/>
      <c r="B35" s="863"/>
      <c r="C35" s="818"/>
      <c r="D35" s="801" t="str">
        <f>D33&amp;".2"</f>
        <v>5.2</v>
      </c>
      <c r="E35" s="803" t="str">
        <f>"имя"&amp;IF(TEMPLATE_SPHERE&lt;&gt;"HEAT"," руководителя","")</f>
        <v>имя руководителя</v>
      </c>
      <c r="F35" s="802"/>
      <c r="G35" s="80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836"/>
    </row>
    <row customHeight="1" ht="22.5">
      <c r="A36" s="818"/>
      <c r="B36" s="863"/>
      <c r="C36" s="818"/>
      <c r="D36" s="801" t="str">
        <f>D33&amp;".3"</f>
        <v>5.3</v>
      </c>
      <c r="E36" s="803" t="str">
        <f>"отчество"&amp;IF(TEMPLATE_SPHERE&lt;&gt;"HEAT"," руководителя","")</f>
        <v>отчество руководителя</v>
      </c>
      <c r="F36" s="1059"/>
      <c r="G36" s="80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836"/>
    </row>
    <row customHeight="1" ht="33.75">
      <c r="A37" s="818"/>
      <c r="B37" s="863"/>
      <c r="C37" s="818"/>
      <c r="D37" s="801">
        <f>D33+1</f>
        <v>6</v>
      </c>
      <c r="E37" s="79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802"/>
      <c r="G37" s="805" t="s">
        <v>379</v>
      </c>
      <c r="H37" s="836"/>
    </row>
    <row customHeight="1" ht="33.75">
      <c r="A38" s="818"/>
      <c r="B38" s="863"/>
      <c r="C38" s="818"/>
      <c r="D38" s="801">
        <f>D37+1</f>
        <v>7</v>
      </c>
      <c r="E38" s="79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802"/>
      <c r="G38" s="805" t="s">
        <v>379</v>
      </c>
      <c r="H38" s="836"/>
    </row>
    <row customHeight="1" ht="22.5">
      <c r="A39" s="818"/>
      <c r="B39" s="863"/>
      <c r="C39" s="818"/>
      <c r="D39" s="801">
        <f>D38+1</f>
        <v>8</v>
      </c>
      <c r="E39" s="79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804" t="s">
        <v>347</v>
      </c>
      <c r="G39" s="248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836"/>
    </row>
    <row customHeight="1" ht="22.5" hidden="1">
      <c r="A40" s="818"/>
      <c r="B40" s="863"/>
      <c r="C40" s="818"/>
      <c r="D40" s="801" t="str">
        <f>D39&amp;".0"</f>
        <v>8.0</v>
      </c>
      <c r="E40" s="1971"/>
      <c r="F40" s="1242"/>
      <c r="G40" s="2484"/>
      <c r="H40" s="836"/>
    </row>
    <row customHeight="1" ht="22.5">
      <c r="A41" s="818"/>
      <c r="B41" s="818"/>
      <c r="C41" s="2054"/>
      <c r="D41" s="801" t="str">
        <f>D39&amp;".1"</f>
        <v>8.1</v>
      </c>
      <c r="E41" s="1221"/>
      <c r="F41" s="1222"/>
      <c r="G41" s="2484"/>
      <c r="H41" s="836"/>
    </row>
    <row customHeight="1" ht="15">
      <c r="A42" s="818"/>
      <c r="B42" s="863"/>
      <c r="C42" s="818"/>
      <c r="D42" s="828"/>
      <c r="E42" s="776" t="s">
        <v>380</v>
      </c>
      <c r="F42" s="830"/>
      <c r="G42" s="2485"/>
      <c r="H42" s="837"/>
    </row>
    <row customHeight="1" ht="25.5">
      <c r="A43" s="818"/>
      <c r="B43" s="863"/>
      <c r="C43" s="818"/>
      <c r="D43" s="801">
        <f>D39+1</f>
        <v>9</v>
      </c>
      <c r="E43" s="79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223"/>
      <c r="G43" s="80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836"/>
    </row>
    <row customHeight="1" ht="22.5">
      <c r="A44" s="818"/>
      <c r="B44" s="863"/>
      <c r="C44" s="818"/>
      <c r="D44" s="801">
        <f>D43+1</f>
        <v>10</v>
      </c>
      <c r="E44" s="79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739"/>
      <c r="G44" s="835" t="s">
        <v>381</v>
      </c>
      <c r="H44" s="836"/>
    </row>
    <row customHeight="1" ht="22.5">
      <c r="A45" s="818"/>
      <c r="B45" s="863"/>
      <c r="C45" s="818"/>
      <c r="D45" s="801">
        <f>D44+1</f>
        <v>11</v>
      </c>
      <c r="E45" s="799" t="s">
        <v>382</v>
      </c>
      <c r="F45" s="804" t="s">
        <v>347</v>
      </c>
      <c r="G45" s="798" t="str">
        <f>IF(TEMPLATE_SPHERE="TKO","Указывается режим работы организации.","")</f>
        <v/>
      </c>
      <c r="H45" s="836"/>
    </row>
    <row customHeight="1" ht="22.5">
      <c r="A46" s="818"/>
      <c r="B46" s="863"/>
      <c r="C46" s="818"/>
      <c r="D46" s="801" t="str">
        <f>D45&amp;".1"</f>
        <v>11.1</v>
      </c>
      <c r="E46" s="803" t="str">
        <f>"режим работы регулируемой организации"&amp;IF(TEMPLATE_SPHERE="HEAT",", ЕТО, ТО","")</f>
        <v>режим работы регулируемой организации</v>
      </c>
      <c r="F46" s="2050"/>
      <c r="G46" s="798" t="s">
        <v>383</v>
      </c>
      <c r="H46" s="836"/>
    </row>
    <row customHeight="1" ht="22.5">
      <c r="A47" s="2475"/>
      <c r="B47" s="863"/>
      <c r="C47" s="853"/>
      <c r="D47" s="801" t="str">
        <f>D45&amp;".2"</f>
        <v>11.2</v>
      </c>
      <c r="E47" s="803" t="s">
        <v>384</v>
      </c>
      <c r="F47" s="851"/>
      <c r="G47" s="798" t="s">
        <v>385</v>
      </c>
      <c r="H47" s="836"/>
    </row>
    <row customHeight="1" ht="22.5">
      <c r="A48" s="2475"/>
      <c r="B48" s="863"/>
      <c r="C48" s="853"/>
      <c r="D48" s="801" t="str">
        <f>D45&amp;".3"</f>
        <v>11.3</v>
      </c>
      <c r="E48" s="803" t="s">
        <v>386</v>
      </c>
      <c r="F48" s="851"/>
      <c r="G48" s="798" t="s">
        <v>387</v>
      </c>
      <c r="H48" s="836"/>
    </row>
    <row customHeight="1" ht="22.5">
      <c r="A49" s="2475"/>
      <c r="B49" s="863"/>
      <c r="C49" s="853"/>
      <c r="D49" s="801" t="str">
        <f>IF(TEMPLATE_SPHERE="TKO",D45&amp;".0",D45&amp;".4")</f>
        <v>11.4</v>
      </c>
      <c r="E49" s="797" t="s">
        <v>388</v>
      </c>
      <c r="F49" s="2051"/>
      <c r="G49" s="2128" t="s">
        <v>389</v>
      </c>
      <c r="H49" s="836"/>
    </row>
    <row customHeight="1" ht="22.5">
      <c r="A50" s="818"/>
      <c r="B50" s="863"/>
      <c r="C50" s="818"/>
      <c r="D50" s="828"/>
      <c r="E50" s="776" t="s">
        <v>390</v>
      </c>
      <c r="F50" s="829"/>
      <c r="G50" s="2128" t="s">
        <v>391</v>
      </c>
      <c r="H50" s="837"/>
    </row>
    <row customHeight="1" ht="22.5">
      <c r="A51" s="1219"/>
      <c r="B51" s="863"/>
      <c r="C51" s="853"/>
      <c r="D51" s="801">
        <f>D45+1</f>
        <v>12</v>
      </c>
      <c r="E51" s="889" t="s">
        <v>392</v>
      </c>
      <c r="F51" s="851"/>
      <c r="G51" s="205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836"/>
    </row>
    <row customHeight="1" ht="11.25">
      <c r="A52" s="818"/>
      <c r="B52" s="863"/>
      <c r="C52" s="818"/>
    </row>
    <row s="31993" customFormat="1" customHeight="1" ht="30">
      <c r="A53" s="2053"/>
      <c r="B53" s="864"/>
      <c r="C53" s="2476"/>
      <c r="D53" s="247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479"/>
      <c r="F53" s="2479"/>
      <c r="G53" s="2479"/>
      <c r="H53" s="815"/>
      <c r="I53" s="815"/>
    </row>
    <row s="31993" customFormat="1" customHeight="1" ht="39.75">
      <c r="A54" s="818"/>
      <c r="B54" s="863"/>
      <c r="C54" s="2476"/>
      <c r="D54" s="2479"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479"/>
      <c r="F54" s="2479"/>
      <c r="G54" s="2479"/>
    </row>
    <row customHeight="1" ht="11.25">
      <c r="D55" s="819"/>
      <c r="E55" s="820"/>
      <c r="F55" s="820"/>
      <c r="G55" s="820"/>
    </row>
    <row customHeight="1" ht="27">
      <c r="D56" s="822"/>
      <c r="E56" s="819"/>
      <c r="F56" s="831"/>
      <c r="G56" s="831"/>
    </row>
    <row customHeight="1" ht="11.25">
      <c r="D57" s="819"/>
      <c r="E57" s="819"/>
      <c r="F57" s="820"/>
      <c r="G57" s="820"/>
    </row>
    <row customHeight="1" ht="39">
      <c r="D58" s="823"/>
      <c r="E58" s="832"/>
      <c r="F58" s="832"/>
      <c r="G58" s="832"/>
    </row>
    <row customHeight="1" ht="27">
      <c r="D59" s="823"/>
      <c r="E59" s="832"/>
      <c r="F59" s="832"/>
      <c r="G59" s="832"/>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28CFB-2D1D-935F-4076-25BA773B978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42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B531BE-FE19-508A-07E6-51EFE84A695C}" mc:Ignorable="x14ac xr xr2 xr3">
  <dimension ref="A1:E8"/>
  <sheetViews>
    <sheetView topLeftCell="A1" showGridLines="0" workbookViewId="0">
      <selection activeCell="A1" sqref="A1"/>
    </sheetView>
  </sheetViews>
  <sheetFormatPr customHeight="1" defaultRowHeight="11.25"/>
  <cols>
    <col min="1" max="1" style="38117" width="10.57421875" customWidth="1"/>
    <col min="2" max="2" style="38117" width="8.7109375" customWidth="1"/>
    <col min="3" max="3" style="38117" width="18.140625" customWidth="1"/>
    <col min="4" max="4" style="38117" width="12.57421875" customWidth="1"/>
  </cols>
  <sheetData>
    <row customHeight="1" ht="11.25">
      <c r="A1" s="1114" t="s">
        <v>2210</v>
      </c>
      <c r="B1" s="1125" t="s">
        <v>2211</v>
      </c>
      <c r="C1" s="2868" t="s">
        <v>2212</v>
      </c>
      <c r="D1" s="2869"/>
      <c r="E1" s="1197" t="s">
        <v>2213</v>
      </c>
    </row>
    <row customHeight="1" ht="11.25">
      <c r="A2" s="1118"/>
      <c r="B2" s="1126" t="s">
        <v>22</v>
      </c>
      <c r="C2" s="1114"/>
      <c r="D2" s="1125"/>
      <c r="E2" s="1197"/>
    </row>
    <row customHeight="1" ht="11.25">
      <c r="A3" s="1129"/>
      <c r="B3" s="1127" t="s">
        <v>29</v>
      </c>
      <c r="C3" s="1114"/>
      <c r="D3" s="1125"/>
      <c r="E3" s="1197"/>
    </row>
    <row customHeight="1" ht="11.25">
      <c r="A4" s="1130"/>
      <c r="B4" s="1127" t="s">
        <v>1628</v>
      </c>
      <c r="C4" s="1114"/>
      <c r="D4" s="1125"/>
      <c r="E4" s="1197"/>
    </row>
    <row customHeight="1" ht="11.25">
      <c r="A5" s="1142"/>
      <c r="B5" s="1127" t="s">
        <v>1622</v>
      </c>
      <c r="C5" s="1117" t="s">
        <v>1969</v>
      </c>
      <c r="D5" s="1241" t="s">
        <v>2214</v>
      </c>
      <c r="E5" s="1197"/>
    </row>
    <row s="38093" customFormat="1" customHeight="1" ht="11.25">
      <c r="A6" s="1128"/>
      <c r="B6" s="1127" t="s">
        <v>1632</v>
      </c>
      <c r="C6" s="1114"/>
      <c r="D6" s="1125"/>
      <c r="E6" s="1197"/>
    </row>
    <row customHeight="1" ht="11.25">
      <c r="A7" s="1116"/>
      <c r="B7" s="1127" t="s">
        <v>1640</v>
      </c>
      <c r="C7" s="1114"/>
      <c r="D7" s="1125"/>
      <c r="E7" s="1197"/>
    </row>
    <row customHeight="1" ht="11.25">
      <c r="A8" s="1117"/>
      <c r="B8" s="1127" t="s">
        <v>1635</v>
      </c>
      <c r="C8" s="1114"/>
      <c r="D8" s="1125"/>
      <c r="E8" s="119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AC036B-E0BF-2228-EB45-28A9F98675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D6EE5B-A64F-0A1A-89FD-99C3F1377D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A19E6-2C02-D55F-BD48-A1E974555F6C}" mc:Ignorable="x14ac xr xr2 xr3">
  <sheetPr>
    <tabColor rgb="FFFFCC99"/>
  </sheetPr>
  <dimension ref="A1:I236"/>
  <sheetViews>
    <sheetView topLeftCell="A1" showGridLines="0" workbookViewId="0">
      <selection activeCell="A1" sqref="A1"/>
    </sheetView>
  </sheetViews>
  <sheetFormatPr defaultColWidth="9.140625" customHeight="1" defaultRowHeight="11.25"/>
  <cols>
    <col min="1" max="2" style="38120" width="9.140625"/>
    <col min="3" max="3" style="38120" width="20.7109375" customWidth="1"/>
    <col min="4" max="4" style="38120" width="25.140625" customWidth="1"/>
    <col min="5" max="9" style="38120" width="9.140625"/>
  </cols>
  <sheetData>
    <row customHeight="1" ht="11.25">
      <c r="A1" s="429" t="s">
        <v>2215</v>
      </c>
      <c r="B1" s="429" t="s">
        <v>2216</v>
      </c>
      <c r="C1" s="429" t="s">
        <v>2217</v>
      </c>
      <c r="D1" s="429" t="s">
        <v>2218</v>
      </c>
      <c r="E1" s="429" t="s">
        <v>2219</v>
      </c>
      <c r="F1" s="429" t="s">
        <v>2220</v>
      </c>
      <c r="G1" s="429" t="s">
        <v>2221</v>
      </c>
      <c r="H1" s="429" t="s">
        <v>2222</v>
      </c>
      <c r="I1" s="429" t="s">
        <v>2223</v>
      </c>
    </row>
    <row customHeight="1" ht="11.25">
      <c r="A2" s="11422" t="s">
        <v>2224</v>
      </c>
      <c r="B2" s="11422" t="s">
        <v>14</v>
      </c>
      <c r="C2" s="11422" t="s">
        <v>2225</v>
      </c>
      <c r="D2" s="11422" t="s">
        <v>2226</v>
      </c>
      <c r="E2" s="11422" t="s">
        <v>2227</v>
      </c>
      <c r="F2" s="11422" t="s">
        <v>2228</v>
      </c>
      <c r="G2" s="11422" t="s">
        <v>2229</v>
      </c>
      <c r="H2" s="11422" t="s">
        <v>24</v>
      </c>
      <c r="I2" s="11422" t="s">
        <v>763</v>
      </c>
    </row>
    <row customHeight="1" ht="11.25">
      <c r="A3" s="11422" t="s">
        <v>2224</v>
      </c>
      <c r="B3" s="11422" t="s">
        <v>14</v>
      </c>
      <c r="C3" s="11422" t="s">
        <v>2230</v>
      </c>
      <c r="D3" s="11422" t="s">
        <v>2226</v>
      </c>
      <c r="E3" s="11422" t="s">
        <v>2227</v>
      </c>
      <c r="F3" s="11422" t="s">
        <v>2231</v>
      </c>
      <c r="G3" s="11422" t="s">
        <v>2232</v>
      </c>
      <c r="H3" s="11422" t="s">
        <v>24</v>
      </c>
      <c r="I3" s="11422" t="s">
        <v>763</v>
      </c>
    </row>
    <row customHeight="1" ht="11.25">
      <c r="A4" s="11422" t="s">
        <v>2224</v>
      </c>
      <c r="B4" s="11422" t="s">
        <v>14</v>
      </c>
      <c r="C4" s="11422" t="s">
        <v>2233</v>
      </c>
      <c r="D4" s="11422" t="s">
        <v>2234</v>
      </c>
      <c r="E4" s="11422" t="s">
        <v>2235</v>
      </c>
      <c r="F4" s="11422" t="s">
        <v>2236</v>
      </c>
      <c r="G4" s="11422" t="s">
        <v>24</v>
      </c>
      <c r="H4" s="11422" t="s">
        <v>24</v>
      </c>
      <c r="I4" s="11422" t="s">
        <v>763</v>
      </c>
    </row>
    <row customHeight="1" ht="11.25">
      <c r="A5" s="11422" t="s">
        <v>2224</v>
      </c>
      <c r="B5" s="11422" t="s">
        <v>14</v>
      </c>
      <c r="C5" s="11422" t="s">
        <v>2237</v>
      </c>
      <c r="D5" s="11422" t="s">
        <v>2238</v>
      </c>
      <c r="E5" s="11422" t="s">
        <v>2239</v>
      </c>
      <c r="F5" s="11422" t="s">
        <v>51</v>
      </c>
      <c r="G5" s="11422" t="s">
        <v>2240</v>
      </c>
      <c r="H5" s="11422" t="s">
        <v>24</v>
      </c>
      <c r="I5" s="11422" t="s">
        <v>763</v>
      </c>
    </row>
    <row customHeight="1" ht="11.25">
      <c r="A6" s="11422" t="s">
        <v>2224</v>
      </c>
      <c r="B6" s="11422" t="s">
        <v>14</v>
      </c>
      <c r="C6" s="11422" t="s">
        <v>2241</v>
      </c>
      <c r="D6" s="11422" t="s">
        <v>2242</v>
      </c>
      <c r="E6" s="11422" t="s">
        <v>2243</v>
      </c>
      <c r="F6" s="11422" t="s">
        <v>2244</v>
      </c>
      <c r="G6" s="11422" t="s">
        <v>24</v>
      </c>
      <c r="H6" s="11422" t="s">
        <v>24</v>
      </c>
      <c r="I6" s="11422" t="s">
        <v>763</v>
      </c>
    </row>
    <row customHeight="1" ht="11.25">
      <c r="A7" s="11422" t="s">
        <v>2224</v>
      </c>
      <c r="B7" s="11422" t="s">
        <v>14</v>
      </c>
      <c r="C7" s="11422" t="s">
        <v>2245</v>
      </c>
      <c r="D7" s="11422" t="s">
        <v>2246</v>
      </c>
      <c r="E7" s="11422" t="s">
        <v>2247</v>
      </c>
      <c r="F7" s="11422" t="s">
        <v>2244</v>
      </c>
      <c r="G7" s="11422" t="s">
        <v>2248</v>
      </c>
      <c r="H7" s="11422" t="s">
        <v>24</v>
      </c>
      <c r="I7" s="11422" t="s">
        <v>763</v>
      </c>
    </row>
    <row customHeight="1" ht="11.25">
      <c r="A8" s="11422" t="s">
        <v>2224</v>
      </c>
      <c r="B8" s="11422" t="s">
        <v>14</v>
      </c>
      <c r="C8" s="11422" t="s">
        <v>2249</v>
      </c>
      <c r="D8" s="11422" t="s">
        <v>2250</v>
      </c>
      <c r="E8" s="11422" t="s">
        <v>2251</v>
      </c>
      <c r="F8" s="11422" t="s">
        <v>2252</v>
      </c>
      <c r="G8" s="11422" t="s">
        <v>24</v>
      </c>
      <c r="H8" s="11422" t="s">
        <v>24</v>
      </c>
      <c r="I8" s="11422" t="s">
        <v>763</v>
      </c>
    </row>
    <row customHeight="1" ht="11.25">
      <c r="A9" s="11422" t="s">
        <v>2224</v>
      </c>
      <c r="B9" s="11422" t="s">
        <v>14</v>
      </c>
      <c r="C9" s="11422" t="s">
        <v>2253</v>
      </c>
      <c r="D9" s="11422" t="s">
        <v>2254</v>
      </c>
      <c r="E9" s="11422" t="s">
        <v>2255</v>
      </c>
      <c r="F9" s="11422" t="s">
        <v>51</v>
      </c>
      <c r="G9" s="11422" t="s">
        <v>24</v>
      </c>
      <c r="H9" s="11422" t="s">
        <v>24</v>
      </c>
      <c r="I9" s="11422" t="s">
        <v>763</v>
      </c>
    </row>
    <row customHeight="1" ht="11.25">
      <c r="A10" s="11422" t="s">
        <v>2224</v>
      </c>
      <c r="B10" s="11422" t="s">
        <v>14</v>
      </c>
      <c r="C10" s="11422" t="s">
        <v>2256</v>
      </c>
      <c r="D10" s="11422" t="s">
        <v>2257</v>
      </c>
      <c r="E10" s="11422" t="s">
        <v>2258</v>
      </c>
      <c r="F10" s="11422" t="s">
        <v>51</v>
      </c>
      <c r="G10" s="11422" t="s">
        <v>2259</v>
      </c>
      <c r="H10" s="11422" t="s">
        <v>24</v>
      </c>
      <c r="I10" s="11422" t="s">
        <v>763</v>
      </c>
    </row>
    <row customHeight="1" ht="11.25">
      <c r="A11" s="11422" t="s">
        <v>2224</v>
      </c>
      <c r="B11" s="11422" t="s">
        <v>14</v>
      </c>
      <c r="C11" s="11422" t="s">
        <v>2260</v>
      </c>
      <c r="D11" s="11422" t="s">
        <v>46</v>
      </c>
      <c r="E11" s="11422" t="s">
        <v>49</v>
      </c>
      <c r="F11" s="11422" t="s">
        <v>51</v>
      </c>
      <c r="G11" s="11422" t="s">
        <v>24</v>
      </c>
      <c r="H11" s="11422" t="s">
        <v>24</v>
      </c>
      <c r="I11" s="11422" t="s">
        <v>763</v>
      </c>
    </row>
    <row customHeight="1" ht="11.25">
      <c r="A12" s="11422" t="s">
        <v>2224</v>
      </c>
      <c r="B12" s="11422" t="s">
        <v>14</v>
      </c>
      <c r="C12" s="11422" t="s">
        <v>2261</v>
      </c>
      <c r="D12" s="11422" t="s">
        <v>2262</v>
      </c>
      <c r="E12" s="11422" t="s">
        <v>2263</v>
      </c>
      <c r="F12" s="11422" t="s">
        <v>2264</v>
      </c>
      <c r="G12" s="11422" t="s">
        <v>24</v>
      </c>
      <c r="H12" s="11422" t="s">
        <v>24</v>
      </c>
      <c r="I12" s="11422" t="s">
        <v>763</v>
      </c>
    </row>
    <row customHeight="1" ht="11.25">
      <c r="A13" s="11422" t="s">
        <v>2224</v>
      </c>
      <c r="B13" s="11422" t="s">
        <v>14</v>
      </c>
      <c r="C13" s="11422" t="s">
        <v>2265</v>
      </c>
      <c r="D13" s="11422" t="s">
        <v>2266</v>
      </c>
      <c r="E13" s="11422" t="s">
        <v>2267</v>
      </c>
      <c r="F13" s="11422" t="s">
        <v>2268</v>
      </c>
      <c r="G13" s="11422" t="s">
        <v>2269</v>
      </c>
      <c r="H13" s="11422" t="s">
        <v>24</v>
      </c>
      <c r="I13" s="11422" t="s">
        <v>763</v>
      </c>
    </row>
    <row customHeight="1" ht="11.25">
      <c r="A14" s="11422" t="s">
        <v>2224</v>
      </c>
      <c r="B14" s="11422" t="s">
        <v>14</v>
      </c>
      <c r="C14" s="11422" t="s">
        <v>2270</v>
      </c>
      <c r="D14" s="11422" t="s">
        <v>2271</v>
      </c>
      <c r="E14" s="11422" t="s">
        <v>2272</v>
      </c>
      <c r="F14" s="11422" t="s">
        <v>2273</v>
      </c>
      <c r="G14" s="11422" t="s">
        <v>24</v>
      </c>
      <c r="H14" s="11422" t="s">
        <v>24</v>
      </c>
      <c r="I14" s="11422" t="s">
        <v>763</v>
      </c>
    </row>
    <row customHeight="1" ht="11.25">
      <c r="A15" s="11422" t="s">
        <v>2224</v>
      </c>
      <c r="B15" s="11422" t="s">
        <v>14</v>
      </c>
      <c r="C15" s="11422" t="s">
        <v>2274</v>
      </c>
      <c r="D15" s="11422" t="s">
        <v>2275</v>
      </c>
      <c r="E15" s="11422" t="s">
        <v>2276</v>
      </c>
      <c r="F15" s="11422" t="s">
        <v>2277</v>
      </c>
      <c r="G15" s="11422" t="s">
        <v>2278</v>
      </c>
      <c r="H15" s="11422" t="s">
        <v>24</v>
      </c>
      <c r="I15" s="11422" t="s">
        <v>763</v>
      </c>
    </row>
    <row customHeight="1" ht="11.25">
      <c r="A16" s="11422" t="s">
        <v>2224</v>
      </c>
      <c r="B16" s="11422" t="s">
        <v>14</v>
      </c>
      <c r="C16" s="11422" t="s">
        <v>2279</v>
      </c>
      <c r="D16" s="11422" t="s">
        <v>2280</v>
      </c>
      <c r="E16" s="11422" t="s">
        <v>2281</v>
      </c>
      <c r="F16" s="11422" t="s">
        <v>2282</v>
      </c>
      <c r="G16" s="11422" t="s">
        <v>24</v>
      </c>
      <c r="H16" s="11422" t="s">
        <v>24</v>
      </c>
      <c r="I16" s="11422" t="s">
        <v>763</v>
      </c>
    </row>
    <row customHeight="1" ht="11.25">
      <c r="A17" s="11422" t="s">
        <v>2224</v>
      </c>
      <c r="B17" s="11422" t="s">
        <v>14</v>
      </c>
      <c r="C17" s="11422" t="s">
        <v>2283</v>
      </c>
      <c r="D17" s="11422" t="s">
        <v>2284</v>
      </c>
      <c r="E17" s="11422" t="s">
        <v>2285</v>
      </c>
      <c r="F17" s="11422" t="s">
        <v>51</v>
      </c>
      <c r="G17" s="11422" t="s">
        <v>2286</v>
      </c>
      <c r="H17" s="11422" t="s">
        <v>24</v>
      </c>
      <c r="I17" s="11422" t="s">
        <v>763</v>
      </c>
    </row>
    <row customHeight="1" ht="11.25">
      <c r="A18" s="11422" t="s">
        <v>2224</v>
      </c>
      <c r="B18" s="11422" t="s">
        <v>14</v>
      </c>
      <c r="C18" s="11422" t="s">
        <v>2287</v>
      </c>
      <c r="D18" s="11422" t="s">
        <v>2288</v>
      </c>
      <c r="E18" s="11422" t="s">
        <v>2289</v>
      </c>
      <c r="F18" s="11422" t="s">
        <v>2290</v>
      </c>
      <c r="G18" s="11422" t="s">
        <v>24</v>
      </c>
      <c r="H18" s="11422" t="s">
        <v>24</v>
      </c>
      <c r="I18" s="11422" t="s">
        <v>763</v>
      </c>
    </row>
    <row customHeight="1" ht="11.25">
      <c r="A19" s="11422" t="s">
        <v>2224</v>
      </c>
      <c r="B19" s="11422" t="s">
        <v>14</v>
      </c>
      <c r="C19" s="11422" t="s">
        <v>2291</v>
      </c>
      <c r="D19" s="11422" t="s">
        <v>2292</v>
      </c>
      <c r="E19" s="11422" t="s">
        <v>2293</v>
      </c>
      <c r="F19" s="11422" t="s">
        <v>51</v>
      </c>
      <c r="G19" s="11422" t="s">
        <v>24</v>
      </c>
      <c r="H19" s="11422" t="s">
        <v>24</v>
      </c>
      <c r="I19" s="11422" t="s">
        <v>763</v>
      </c>
    </row>
    <row customHeight="1" ht="11.25">
      <c r="A20" s="11422" t="s">
        <v>2224</v>
      </c>
      <c r="B20" s="11422" t="s">
        <v>14</v>
      </c>
      <c r="C20" s="11422" t="s">
        <v>2294</v>
      </c>
      <c r="D20" s="11422" t="s">
        <v>2295</v>
      </c>
      <c r="E20" s="11422" t="s">
        <v>2296</v>
      </c>
      <c r="F20" s="11422" t="s">
        <v>51</v>
      </c>
      <c r="G20" s="11422" t="s">
        <v>2297</v>
      </c>
      <c r="H20" s="11422" t="s">
        <v>24</v>
      </c>
      <c r="I20" s="11422" t="s">
        <v>763</v>
      </c>
    </row>
    <row customHeight="1" ht="11.25">
      <c r="A21" s="11422" t="s">
        <v>2224</v>
      </c>
      <c r="B21" s="11422" t="s">
        <v>14</v>
      </c>
      <c r="C21" s="11422" t="s">
        <v>24</v>
      </c>
      <c r="D21" s="11422" t="s">
        <v>2298</v>
      </c>
      <c r="E21" s="11422" t="s">
        <v>2299</v>
      </c>
      <c r="F21" s="11422" t="s">
        <v>51</v>
      </c>
      <c r="G21" s="11422" t="s">
        <v>24</v>
      </c>
      <c r="H21" s="11422" t="s">
        <v>24</v>
      </c>
      <c r="I21" s="11422" t="s">
        <v>763</v>
      </c>
    </row>
    <row customHeight="1" ht="11.25">
      <c r="A22" s="11422" t="s">
        <v>2224</v>
      </c>
      <c r="B22" s="11422" t="s">
        <v>14</v>
      </c>
      <c r="C22" s="11422" t="s">
        <v>2300</v>
      </c>
      <c r="D22" s="11422" t="s">
        <v>2301</v>
      </c>
      <c r="E22" s="11422" t="s">
        <v>2302</v>
      </c>
      <c r="F22" s="11422" t="s">
        <v>2303</v>
      </c>
      <c r="G22" s="11422" t="s">
        <v>24</v>
      </c>
      <c r="H22" s="11422" t="s">
        <v>24</v>
      </c>
      <c r="I22" s="11422" t="s">
        <v>763</v>
      </c>
    </row>
    <row customHeight="1" ht="11.25">
      <c r="A23" s="11422" t="s">
        <v>2224</v>
      </c>
      <c r="B23" s="11422" t="s">
        <v>14</v>
      </c>
      <c r="C23" s="11422" t="s">
        <v>2304</v>
      </c>
      <c r="D23" s="11422" t="s">
        <v>2305</v>
      </c>
      <c r="E23" s="11422" t="s">
        <v>2306</v>
      </c>
      <c r="F23" s="11422" t="s">
        <v>2236</v>
      </c>
      <c r="G23" s="11422" t="s">
        <v>24</v>
      </c>
      <c r="H23" s="11422" t="s">
        <v>24</v>
      </c>
      <c r="I23" s="11422" t="s">
        <v>763</v>
      </c>
    </row>
    <row customHeight="1" ht="11.25">
      <c r="A24" s="11422" t="s">
        <v>2224</v>
      </c>
      <c r="B24" s="11422" t="s">
        <v>14</v>
      </c>
      <c r="C24" s="11422" t="s">
        <v>2307</v>
      </c>
      <c r="D24" s="11422" t="s">
        <v>2308</v>
      </c>
      <c r="E24" s="11422" t="s">
        <v>2309</v>
      </c>
      <c r="F24" s="11422" t="s">
        <v>2303</v>
      </c>
      <c r="G24" s="11422" t="s">
        <v>2310</v>
      </c>
      <c r="H24" s="11422" t="s">
        <v>24</v>
      </c>
      <c r="I24" s="11422" t="s">
        <v>763</v>
      </c>
    </row>
    <row customHeight="1" ht="11.25">
      <c r="A25" s="11422" t="s">
        <v>2224</v>
      </c>
      <c r="B25" s="11422" t="s">
        <v>14</v>
      </c>
      <c r="C25" s="11422" t="s">
        <v>2311</v>
      </c>
      <c r="D25" s="11422" t="s">
        <v>2312</v>
      </c>
      <c r="E25" s="11422" t="s">
        <v>2313</v>
      </c>
      <c r="F25" s="11422" t="s">
        <v>2303</v>
      </c>
      <c r="G25" s="11422" t="s">
        <v>2314</v>
      </c>
      <c r="H25" s="11422" t="s">
        <v>24</v>
      </c>
      <c r="I25" s="11422" t="s">
        <v>763</v>
      </c>
    </row>
    <row customHeight="1" ht="11.25">
      <c r="A26" s="11422" t="s">
        <v>2224</v>
      </c>
      <c r="B26" s="11422" t="s">
        <v>14</v>
      </c>
      <c r="C26" s="11422" t="s">
        <v>2315</v>
      </c>
      <c r="D26" s="11422" t="s">
        <v>2316</v>
      </c>
      <c r="E26" s="11422" t="s">
        <v>2317</v>
      </c>
      <c r="F26" s="11422" t="s">
        <v>2318</v>
      </c>
      <c r="G26" s="11422" t="s">
        <v>2319</v>
      </c>
      <c r="H26" s="11422" t="s">
        <v>24</v>
      </c>
      <c r="I26" s="11422" t="s">
        <v>763</v>
      </c>
    </row>
    <row customHeight="1" ht="11.25">
      <c r="A27" s="11422" t="s">
        <v>2224</v>
      </c>
      <c r="B27" s="11422" t="s">
        <v>14</v>
      </c>
      <c r="C27" s="11422" t="s">
        <v>2320</v>
      </c>
      <c r="D27" s="11422" t="s">
        <v>2321</v>
      </c>
      <c r="E27" s="11422" t="s">
        <v>2322</v>
      </c>
      <c r="F27" s="11422" t="s">
        <v>2323</v>
      </c>
      <c r="G27" s="11422" t="s">
        <v>24</v>
      </c>
      <c r="H27" s="11422" t="s">
        <v>24</v>
      </c>
      <c r="I27" s="11422" t="s">
        <v>763</v>
      </c>
    </row>
    <row customHeight="1" ht="11.25">
      <c r="A28" s="11422" t="s">
        <v>2224</v>
      </c>
      <c r="B28" s="11422" t="s">
        <v>14</v>
      </c>
      <c r="C28" s="11422" t="s">
        <v>2324</v>
      </c>
      <c r="D28" s="11422" t="s">
        <v>2325</v>
      </c>
      <c r="E28" s="11422" t="s">
        <v>2326</v>
      </c>
      <c r="F28" s="11422" t="s">
        <v>2268</v>
      </c>
      <c r="G28" s="11422" t="s">
        <v>24</v>
      </c>
      <c r="H28" s="11422" t="s">
        <v>24</v>
      </c>
      <c r="I28" s="11422" t="s">
        <v>763</v>
      </c>
    </row>
    <row customHeight="1" ht="11.25">
      <c r="A29" s="11422" t="s">
        <v>2224</v>
      </c>
      <c r="B29" s="11422" t="s">
        <v>14</v>
      </c>
      <c r="C29" s="11422" t="s">
        <v>2327</v>
      </c>
      <c r="D29" s="11422" t="s">
        <v>2328</v>
      </c>
      <c r="E29" s="11422" t="s">
        <v>2329</v>
      </c>
      <c r="F29" s="11422" t="s">
        <v>2330</v>
      </c>
      <c r="G29" s="11422" t="s">
        <v>24</v>
      </c>
      <c r="H29" s="11422" t="s">
        <v>24</v>
      </c>
      <c r="I29" s="11422" t="s">
        <v>763</v>
      </c>
    </row>
    <row customHeight="1" ht="11.25">
      <c r="A30" s="11422" t="s">
        <v>2224</v>
      </c>
      <c r="B30" s="11422" t="s">
        <v>14</v>
      </c>
      <c r="C30" s="11422" t="s">
        <v>2331</v>
      </c>
      <c r="D30" s="11422" t="s">
        <v>2332</v>
      </c>
      <c r="E30" s="11422" t="s">
        <v>2333</v>
      </c>
      <c r="F30" s="11422" t="s">
        <v>2334</v>
      </c>
      <c r="G30" s="11422" t="s">
        <v>24</v>
      </c>
      <c r="H30" s="11422" t="s">
        <v>24</v>
      </c>
      <c r="I30" s="11422" t="s">
        <v>763</v>
      </c>
    </row>
    <row customHeight="1" ht="11.25">
      <c r="A31" s="11422" t="s">
        <v>2224</v>
      </c>
      <c r="B31" s="11422" t="s">
        <v>14</v>
      </c>
      <c r="C31" s="11422" t="s">
        <v>2335</v>
      </c>
      <c r="D31" s="11422" t="s">
        <v>2336</v>
      </c>
      <c r="E31" s="11422" t="s">
        <v>2337</v>
      </c>
      <c r="F31" s="11422" t="s">
        <v>2236</v>
      </c>
      <c r="G31" s="11422" t="s">
        <v>24</v>
      </c>
      <c r="H31" s="11422" t="s">
        <v>24</v>
      </c>
      <c r="I31" s="11422" t="s">
        <v>763</v>
      </c>
    </row>
    <row customHeight="1" ht="11.25">
      <c r="A32" s="11422" t="s">
        <v>2224</v>
      </c>
      <c r="B32" s="11422" t="s">
        <v>14</v>
      </c>
      <c r="C32" s="11422" t="s">
        <v>2338</v>
      </c>
      <c r="D32" s="11422" t="s">
        <v>2339</v>
      </c>
      <c r="E32" s="11422" t="s">
        <v>2340</v>
      </c>
      <c r="F32" s="11422" t="s">
        <v>2277</v>
      </c>
      <c r="G32" s="11422" t="s">
        <v>24</v>
      </c>
      <c r="H32" s="11422" t="s">
        <v>24</v>
      </c>
      <c r="I32" s="11422" t="s">
        <v>763</v>
      </c>
    </row>
    <row customHeight="1" ht="11.25">
      <c r="A33" s="11422" t="s">
        <v>2224</v>
      </c>
      <c r="B33" s="11422" t="s">
        <v>14</v>
      </c>
      <c r="C33" s="11422" t="s">
        <v>2341</v>
      </c>
      <c r="D33" s="11422" t="s">
        <v>2342</v>
      </c>
      <c r="E33" s="11422" t="s">
        <v>2343</v>
      </c>
      <c r="F33" s="11422" t="s">
        <v>2236</v>
      </c>
      <c r="G33" s="11422" t="s">
        <v>24</v>
      </c>
      <c r="H33" s="11422" t="s">
        <v>24</v>
      </c>
      <c r="I33" s="11422" t="s">
        <v>763</v>
      </c>
    </row>
    <row customHeight="1" ht="11.25">
      <c r="A34" s="11422" t="s">
        <v>2224</v>
      </c>
      <c r="B34" s="11422" t="s">
        <v>14</v>
      </c>
      <c r="C34" s="11422" t="s">
        <v>2344</v>
      </c>
      <c r="D34" s="11422" t="s">
        <v>2345</v>
      </c>
      <c r="E34" s="11422" t="s">
        <v>2346</v>
      </c>
      <c r="F34" s="11422" t="s">
        <v>51</v>
      </c>
      <c r="G34" s="11422" t="s">
        <v>24</v>
      </c>
      <c r="H34" s="11422" t="s">
        <v>24</v>
      </c>
      <c r="I34" s="11422" t="s">
        <v>763</v>
      </c>
    </row>
    <row customHeight="1" ht="11.25">
      <c r="A35" s="11422" t="s">
        <v>2224</v>
      </c>
      <c r="B35" s="11422" t="s">
        <v>14</v>
      </c>
      <c r="C35" s="11422" t="s">
        <v>2347</v>
      </c>
      <c r="D35" s="11422" t="s">
        <v>2348</v>
      </c>
      <c r="E35" s="11422" t="s">
        <v>2349</v>
      </c>
      <c r="F35" s="11422" t="s">
        <v>2318</v>
      </c>
      <c r="G35" s="11422" t="s">
        <v>24</v>
      </c>
      <c r="H35" s="11422" t="s">
        <v>24</v>
      </c>
      <c r="I35" s="11422" t="s">
        <v>763</v>
      </c>
    </row>
    <row customHeight="1" ht="11.25">
      <c r="A36" s="11422" t="s">
        <v>2224</v>
      </c>
      <c r="B36" s="11422" t="s">
        <v>14</v>
      </c>
      <c r="C36" s="11422" t="s">
        <v>2350</v>
      </c>
      <c r="D36" s="11422" t="s">
        <v>2351</v>
      </c>
      <c r="E36" s="11422" t="s">
        <v>2352</v>
      </c>
      <c r="F36" s="11422" t="s">
        <v>2318</v>
      </c>
      <c r="G36" s="11422" t="s">
        <v>2353</v>
      </c>
      <c r="H36" s="11422" t="s">
        <v>24</v>
      </c>
      <c r="I36" s="11422" t="s">
        <v>763</v>
      </c>
    </row>
    <row customHeight="1" ht="11.25">
      <c r="A37" s="11422" t="s">
        <v>2224</v>
      </c>
      <c r="B37" s="11422" t="s">
        <v>14</v>
      </c>
      <c r="C37" s="11422" t="s">
        <v>2354</v>
      </c>
      <c r="D37" s="11422" t="s">
        <v>2355</v>
      </c>
      <c r="E37" s="11422" t="s">
        <v>2356</v>
      </c>
      <c r="F37" s="11422" t="s">
        <v>2357</v>
      </c>
      <c r="G37" s="11422" t="s">
        <v>24</v>
      </c>
      <c r="H37" s="11422" t="s">
        <v>24</v>
      </c>
      <c r="I37" s="11422" t="s">
        <v>763</v>
      </c>
    </row>
    <row customHeight="1" ht="11.25">
      <c r="A38" s="11422" t="s">
        <v>2224</v>
      </c>
      <c r="B38" s="11422" t="s">
        <v>14</v>
      </c>
      <c r="C38" s="11422" t="s">
        <v>2358</v>
      </c>
      <c r="D38" s="11422" t="s">
        <v>2359</v>
      </c>
      <c r="E38" s="11422" t="s">
        <v>2360</v>
      </c>
      <c r="F38" s="11422" t="s">
        <v>2303</v>
      </c>
      <c r="G38" s="11422" t="s">
        <v>24</v>
      </c>
      <c r="H38" s="11422" t="s">
        <v>24</v>
      </c>
      <c r="I38" s="11422" t="s">
        <v>763</v>
      </c>
    </row>
    <row customHeight="1" ht="11.25">
      <c r="A39" s="11422" t="s">
        <v>2224</v>
      </c>
      <c r="B39" s="11422" t="s">
        <v>14</v>
      </c>
      <c r="C39" s="11422" t="s">
        <v>2361</v>
      </c>
      <c r="D39" s="11422" t="s">
        <v>2362</v>
      </c>
      <c r="E39" s="11422" t="s">
        <v>2363</v>
      </c>
      <c r="F39" s="11422" t="s">
        <v>2236</v>
      </c>
      <c r="G39" s="11422" t="s">
        <v>24</v>
      </c>
      <c r="H39" s="11422" t="s">
        <v>24</v>
      </c>
      <c r="I39" s="11422" t="s">
        <v>763</v>
      </c>
    </row>
    <row customHeight="1" ht="11.25">
      <c r="A40" s="11422" t="s">
        <v>2224</v>
      </c>
      <c r="B40" s="11422" t="s">
        <v>14</v>
      </c>
      <c r="C40" s="11422" t="s">
        <v>2364</v>
      </c>
      <c r="D40" s="11422" t="s">
        <v>2365</v>
      </c>
      <c r="E40" s="11422" t="s">
        <v>2366</v>
      </c>
      <c r="F40" s="11422" t="s">
        <v>2277</v>
      </c>
      <c r="G40" s="11422" t="s">
        <v>24</v>
      </c>
      <c r="H40" s="11422" t="s">
        <v>24</v>
      </c>
      <c r="I40" s="11422" t="s">
        <v>763</v>
      </c>
    </row>
    <row customHeight="1" ht="11.25">
      <c r="A41" s="11422" t="s">
        <v>2224</v>
      </c>
      <c r="B41" s="11422" t="s">
        <v>14</v>
      </c>
      <c r="C41" s="11422" t="s">
        <v>2367</v>
      </c>
      <c r="D41" s="11422" t="s">
        <v>2368</v>
      </c>
      <c r="E41" s="11422" t="s">
        <v>2369</v>
      </c>
      <c r="F41" s="11422" t="s">
        <v>2370</v>
      </c>
      <c r="G41" s="11422" t="s">
        <v>24</v>
      </c>
      <c r="H41" s="11422" t="s">
        <v>24</v>
      </c>
      <c r="I41" s="11422" t="s">
        <v>763</v>
      </c>
    </row>
    <row customHeight="1" ht="11.25">
      <c r="A42" s="11422" t="s">
        <v>2224</v>
      </c>
      <c r="B42" s="11422" t="s">
        <v>14</v>
      </c>
      <c r="C42" s="11422" t="s">
        <v>2371</v>
      </c>
      <c r="D42" s="11422" t="s">
        <v>2372</v>
      </c>
      <c r="E42" s="11422" t="s">
        <v>2373</v>
      </c>
      <c r="F42" s="11422" t="s">
        <v>2236</v>
      </c>
      <c r="G42" s="11422" t="s">
        <v>2374</v>
      </c>
      <c r="H42" s="11422" t="s">
        <v>24</v>
      </c>
      <c r="I42" s="11422" t="s">
        <v>763</v>
      </c>
    </row>
    <row customHeight="1" ht="11.25">
      <c r="A43" s="11422" t="s">
        <v>2224</v>
      </c>
      <c r="B43" s="11422" t="s">
        <v>14</v>
      </c>
      <c r="C43" s="11422" t="s">
        <v>2375</v>
      </c>
      <c r="D43" s="11422" t="s">
        <v>2376</v>
      </c>
      <c r="E43" s="11422" t="s">
        <v>2377</v>
      </c>
      <c r="F43" s="11422" t="s">
        <v>2318</v>
      </c>
      <c r="G43" s="11422" t="s">
        <v>2378</v>
      </c>
      <c r="H43" s="11422" t="s">
        <v>24</v>
      </c>
      <c r="I43" s="11422" t="s">
        <v>763</v>
      </c>
    </row>
    <row customHeight="1" ht="11.25">
      <c r="A44" s="11422" t="s">
        <v>2224</v>
      </c>
      <c r="B44" s="11422" t="s">
        <v>14</v>
      </c>
      <c r="C44" s="11422" t="s">
        <v>2379</v>
      </c>
      <c r="D44" s="11422" t="s">
        <v>2380</v>
      </c>
      <c r="E44" s="11422" t="s">
        <v>2381</v>
      </c>
      <c r="F44" s="11422" t="s">
        <v>2236</v>
      </c>
      <c r="G44" s="11422" t="s">
        <v>24</v>
      </c>
      <c r="H44" s="11422" t="s">
        <v>24</v>
      </c>
      <c r="I44" s="11422" t="s">
        <v>763</v>
      </c>
    </row>
    <row customHeight="1" ht="11.25">
      <c r="A45" s="11422" t="s">
        <v>2224</v>
      </c>
      <c r="B45" s="11422" t="s">
        <v>14</v>
      </c>
      <c r="C45" s="11422" t="s">
        <v>2382</v>
      </c>
      <c r="D45" s="11422" t="s">
        <v>2383</v>
      </c>
      <c r="E45" s="11422" t="s">
        <v>2384</v>
      </c>
      <c r="F45" s="11422" t="s">
        <v>2385</v>
      </c>
      <c r="G45" s="11422" t="s">
        <v>2386</v>
      </c>
      <c r="H45" s="11422" t="s">
        <v>24</v>
      </c>
      <c r="I45" s="11422" t="s">
        <v>763</v>
      </c>
    </row>
    <row customHeight="1" ht="11.25">
      <c r="A46" s="11422" t="s">
        <v>2224</v>
      </c>
      <c r="B46" s="11422" t="s">
        <v>14</v>
      </c>
      <c r="C46" s="11422" t="s">
        <v>2387</v>
      </c>
      <c r="D46" s="11422" t="s">
        <v>2388</v>
      </c>
      <c r="E46" s="11422" t="s">
        <v>2389</v>
      </c>
      <c r="F46" s="11422" t="s">
        <v>2390</v>
      </c>
      <c r="G46" s="11422" t="s">
        <v>2391</v>
      </c>
      <c r="H46" s="11422" t="s">
        <v>24</v>
      </c>
      <c r="I46" s="11422" t="s">
        <v>763</v>
      </c>
    </row>
    <row customHeight="1" ht="11.25">
      <c r="A47" s="11422" t="s">
        <v>2224</v>
      </c>
      <c r="B47" s="11422" t="s">
        <v>14</v>
      </c>
      <c r="C47" s="11422" t="s">
        <v>2392</v>
      </c>
      <c r="D47" s="11422" t="s">
        <v>2393</v>
      </c>
      <c r="E47" s="11422" t="s">
        <v>2394</v>
      </c>
      <c r="F47" s="11422" t="s">
        <v>2395</v>
      </c>
      <c r="G47" s="11422" t="s">
        <v>24</v>
      </c>
      <c r="H47" s="11422" t="s">
        <v>24</v>
      </c>
      <c r="I47" s="11422" t="s">
        <v>763</v>
      </c>
    </row>
    <row customHeight="1" ht="11.25">
      <c r="A48" s="11422" t="s">
        <v>2224</v>
      </c>
      <c r="B48" s="11422" t="s">
        <v>14</v>
      </c>
      <c r="C48" s="11422" t="s">
        <v>2396</v>
      </c>
      <c r="D48" s="11422" t="s">
        <v>2397</v>
      </c>
      <c r="E48" s="11422" t="s">
        <v>2398</v>
      </c>
      <c r="F48" s="11422" t="s">
        <v>2236</v>
      </c>
      <c r="G48" s="11422" t="s">
        <v>24</v>
      </c>
      <c r="H48" s="11422" t="s">
        <v>24</v>
      </c>
      <c r="I48" s="11422" t="s">
        <v>763</v>
      </c>
    </row>
    <row customHeight="1" ht="11.25">
      <c r="A49" s="11422" t="s">
        <v>2224</v>
      </c>
      <c r="B49" s="11422" t="s">
        <v>14</v>
      </c>
      <c r="C49" s="11422" t="s">
        <v>2399</v>
      </c>
      <c r="D49" s="11422" t="s">
        <v>2400</v>
      </c>
      <c r="E49" s="11422" t="s">
        <v>2401</v>
      </c>
      <c r="F49" s="11422" t="s">
        <v>2236</v>
      </c>
      <c r="G49" s="11422" t="s">
        <v>24</v>
      </c>
      <c r="H49" s="11422" t="s">
        <v>24</v>
      </c>
      <c r="I49" s="11422" t="s">
        <v>763</v>
      </c>
    </row>
    <row customHeight="1" ht="11.25">
      <c r="A50" s="11422" t="s">
        <v>2224</v>
      </c>
      <c r="B50" s="11422" t="s">
        <v>14</v>
      </c>
      <c r="C50" s="11422" t="s">
        <v>2402</v>
      </c>
      <c r="D50" s="11422" t="s">
        <v>2403</v>
      </c>
      <c r="E50" s="11422" t="s">
        <v>2404</v>
      </c>
      <c r="F50" s="11422" t="s">
        <v>2405</v>
      </c>
      <c r="G50" s="11422" t="s">
        <v>2406</v>
      </c>
      <c r="H50" s="11422" t="s">
        <v>24</v>
      </c>
      <c r="I50" s="11422" t="s">
        <v>763</v>
      </c>
    </row>
    <row customHeight="1" ht="11.25">
      <c r="A51" s="11422" t="s">
        <v>2224</v>
      </c>
      <c r="B51" s="11422" t="s">
        <v>14</v>
      </c>
      <c r="C51" s="11422" t="s">
        <v>2407</v>
      </c>
      <c r="D51" s="11422" t="s">
        <v>2408</v>
      </c>
      <c r="E51" s="11422" t="s">
        <v>2409</v>
      </c>
      <c r="F51" s="11422" t="s">
        <v>51</v>
      </c>
      <c r="G51" s="11422" t="s">
        <v>24</v>
      </c>
      <c r="H51" s="11422" t="s">
        <v>2410</v>
      </c>
      <c r="I51" s="11422" t="s">
        <v>763</v>
      </c>
    </row>
    <row customHeight="1" ht="11.25">
      <c r="A52" s="11422" t="s">
        <v>2224</v>
      </c>
      <c r="B52" s="11422" t="s">
        <v>14</v>
      </c>
      <c r="C52" s="11422" t="s">
        <v>2411</v>
      </c>
      <c r="D52" s="11422" t="s">
        <v>2412</v>
      </c>
      <c r="E52" s="11422" t="s">
        <v>2413</v>
      </c>
      <c r="F52" s="11422" t="s">
        <v>2318</v>
      </c>
      <c r="G52" s="11422" t="s">
        <v>24</v>
      </c>
      <c r="H52" s="11422" t="s">
        <v>24</v>
      </c>
      <c r="I52" s="11422" t="s">
        <v>763</v>
      </c>
    </row>
    <row customHeight="1" ht="11.25">
      <c r="A53" s="11422" t="s">
        <v>2224</v>
      </c>
      <c r="B53" s="11422" t="s">
        <v>14</v>
      </c>
      <c r="C53" s="11422" t="s">
        <v>2414</v>
      </c>
      <c r="D53" s="11422" t="s">
        <v>2415</v>
      </c>
      <c r="E53" s="11422" t="s">
        <v>2416</v>
      </c>
      <c r="F53" s="11422" t="s">
        <v>2323</v>
      </c>
      <c r="G53" s="11422" t="s">
        <v>24</v>
      </c>
      <c r="H53" s="11422" t="s">
        <v>24</v>
      </c>
      <c r="I53" s="11422" t="s">
        <v>763</v>
      </c>
    </row>
    <row customHeight="1" ht="11.25">
      <c r="A54" s="11422" t="s">
        <v>2224</v>
      </c>
      <c r="B54" s="11422" t="s">
        <v>14</v>
      </c>
      <c r="C54" s="11422" t="s">
        <v>2417</v>
      </c>
      <c r="D54" s="11422" t="s">
        <v>2418</v>
      </c>
      <c r="E54" s="11422" t="s">
        <v>2419</v>
      </c>
      <c r="F54" s="11422" t="s">
        <v>2334</v>
      </c>
      <c r="G54" s="11422" t="s">
        <v>2420</v>
      </c>
      <c r="H54" s="11422" t="s">
        <v>24</v>
      </c>
      <c r="I54" s="11422" t="s">
        <v>763</v>
      </c>
    </row>
    <row customHeight="1" ht="11.25">
      <c r="A55" s="11422" t="s">
        <v>2224</v>
      </c>
      <c r="B55" s="11422" t="s">
        <v>14</v>
      </c>
      <c r="C55" s="11422" t="s">
        <v>2421</v>
      </c>
      <c r="D55" s="11422" t="s">
        <v>2422</v>
      </c>
      <c r="E55" s="11422" t="s">
        <v>2423</v>
      </c>
      <c r="F55" s="11422" t="s">
        <v>2405</v>
      </c>
      <c r="G55" s="11422" t="s">
        <v>24</v>
      </c>
      <c r="H55" s="11422" t="s">
        <v>24</v>
      </c>
      <c r="I55" s="11422" t="s">
        <v>763</v>
      </c>
    </row>
    <row customHeight="1" ht="11.25">
      <c r="A56" s="11422" t="s">
        <v>2224</v>
      </c>
      <c r="B56" s="11422" t="s">
        <v>14</v>
      </c>
      <c r="C56" s="11422" t="s">
        <v>2424</v>
      </c>
      <c r="D56" s="11422" t="s">
        <v>2425</v>
      </c>
      <c r="E56" s="11422" t="s">
        <v>2426</v>
      </c>
      <c r="F56" s="11422" t="s">
        <v>2427</v>
      </c>
      <c r="G56" s="11422" t="s">
        <v>2428</v>
      </c>
      <c r="H56" s="11422" t="s">
        <v>24</v>
      </c>
      <c r="I56" s="11422" t="s">
        <v>763</v>
      </c>
    </row>
    <row customHeight="1" ht="11.25">
      <c r="A57" s="11422" t="s">
        <v>2224</v>
      </c>
      <c r="B57" s="11422" t="s">
        <v>14</v>
      </c>
      <c r="C57" s="11422" t="s">
        <v>2429</v>
      </c>
      <c r="D57" s="11422" t="s">
        <v>2430</v>
      </c>
      <c r="E57" s="11422" t="s">
        <v>2431</v>
      </c>
      <c r="F57" s="11422" t="s">
        <v>2432</v>
      </c>
      <c r="G57" s="11422" t="s">
        <v>24</v>
      </c>
      <c r="H57" s="11422" t="s">
        <v>24</v>
      </c>
      <c r="I57" s="11422" t="s">
        <v>763</v>
      </c>
    </row>
    <row customHeight="1" ht="11.25">
      <c r="A58" s="11422" t="s">
        <v>2224</v>
      </c>
      <c r="B58" s="11422" t="s">
        <v>14</v>
      </c>
      <c r="C58" s="11422" t="s">
        <v>2433</v>
      </c>
      <c r="D58" s="11422" t="s">
        <v>2434</v>
      </c>
      <c r="E58" s="11422" t="s">
        <v>2435</v>
      </c>
      <c r="F58" s="11422" t="s">
        <v>2268</v>
      </c>
      <c r="G58" s="11422" t="s">
        <v>24</v>
      </c>
      <c r="H58" s="11422" t="s">
        <v>24</v>
      </c>
      <c r="I58" s="11422" t="s">
        <v>763</v>
      </c>
    </row>
    <row customHeight="1" ht="11.25">
      <c r="A59" s="11422" t="s">
        <v>2224</v>
      </c>
      <c r="B59" s="11422" t="s">
        <v>14</v>
      </c>
      <c r="C59" s="11422" t="s">
        <v>2436</v>
      </c>
      <c r="D59" s="11422" t="s">
        <v>2437</v>
      </c>
      <c r="E59" s="11422" t="s">
        <v>2438</v>
      </c>
      <c r="F59" s="11422" t="s">
        <v>51</v>
      </c>
      <c r="G59" s="11422" t="s">
        <v>24</v>
      </c>
      <c r="H59" s="11422" t="s">
        <v>24</v>
      </c>
      <c r="I59" s="11422" t="s">
        <v>763</v>
      </c>
    </row>
    <row customHeight="1" ht="11.25">
      <c r="A60" s="11422" t="s">
        <v>2224</v>
      </c>
      <c r="B60" s="11422" t="s">
        <v>14</v>
      </c>
      <c r="C60" s="11422" t="s">
        <v>2439</v>
      </c>
      <c r="D60" s="11422" t="s">
        <v>2440</v>
      </c>
      <c r="E60" s="11422" t="s">
        <v>2441</v>
      </c>
      <c r="F60" s="11422" t="s">
        <v>2442</v>
      </c>
      <c r="G60" s="11422" t="s">
        <v>2443</v>
      </c>
      <c r="H60" s="11422" t="s">
        <v>24</v>
      </c>
      <c r="I60" s="11422" t="s">
        <v>763</v>
      </c>
    </row>
    <row customHeight="1" ht="11.25">
      <c r="A61" s="11422" t="s">
        <v>2224</v>
      </c>
      <c r="B61" s="11422" t="s">
        <v>14</v>
      </c>
      <c r="C61" s="11422" t="s">
        <v>2444</v>
      </c>
      <c r="D61" s="11422" t="s">
        <v>2445</v>
      </c>
      <c r="E61" s="11422" t="s">
        <v>2389</v>
      </c>
      <c r="F61" s="11422" t="s">
        <v>2446</v>
      </c>
      <c r="G61" s="11422" t="s">
        <v>24</v>
      </c>
      <c r="H61" s="11422" t="s">
        <v>24</v>
      </c>
      <c r="I61" s="11422" t="s">
        <v>763</v>
      </c>
    </row>
    <row customHeight="1" ht="11.25">
      <c r="A62" s="11422" t="s">
        <v>2224</v>
      </c>
      <c r="B62" s="11422" t="s">
        <v>14</v>
      </c>
      <c r="C62" s="11422" t="s">
        <v>2447</v>
      </c>
      <c r="D62" s="11422" t="s">
        <v>2448</v>
      </c>
      <c r="E62" s="11422" t="s">
        <v>2449</v>
      </c>
      <c r="F62" s="11422" t="s">
        <v>51</v>
      </c>
      <c r="G62" s="11422" t="s">
        <v>24</v>
      </c>
      <c r="H62" s="11422" t="s">
        <v>24</v>
      </c>
      <c r="I62" s="11422" t="s">
        <v>763</v>
      </c>
    </row>
    <row customHeight="1" ht="11.25">
      <c r="A63" s="11422" t="s">
        <v>2224</v>
      </c>
      <c r="B63" s="11422" t="s">
        <v>14</v>
      </c>
      <c r="C63" s="11422" t="s">
        <v>2450</v>
      </c>
      <c r="D63" s="11422" t="s">
        <v>2451</v>
      </c>
      <c r="E63" s="11422" t="s">
        <v>2441</v>
      </c>
      <c r="F63" s="11422" t="s">
        <v>2452</v>
      </c>
      <c r="G63" s="11422" t="s">
        <v>2453</v>
      </c>
      <c r="H63" s="11422" t="s">
        <v>24</v>
      </c>
      <c r="I63" s="11422" t="s">
        <v>763</v>
      </c>
    </row>
    <row customHeight="1" ht="11.25">
      <c r="A64" s="11422" t="s">
        <v>2224</v>
      </c>
      <c r="B64" s="11422" t="s">
        <v>14</v>
      </c>
      <c r="C64" s="11422" t="s">
        <v>2454</v>
      </c>
      <c r="D64" s="11422" t="s">
        <v>2455</v>
      </c>
      <c r="E64" s="11422" t="s">
        <v>2456</v>
      </c>
      <c r="F64" s="11422" t="s">
        <v>2236</v>
      </c>
      <c r="G64" s="11422" t="s">
        <v>2457</v>
      </c>
      <c r="H64" s="11422" t="s">
        <v>2458</v>
      </c>
      <c r="I64" s="11422" t="s">
        <v>763</v>
      </c>
    </row>
    <row customHeight="1" ht="11.25">
      <c r="A65" s="11422" t="s">
        <v>2224</v>
      </c>
      <c r="B65" s="11422" t="s">
        <v>14</v>
      </c>
      <c r="C65" s="11422" t="s">
        <v>2459</v>
      </c>
      <c r="D65" s="11422" t="s">
        <v>2460</v>
      </c>
      <c r="E65" s="11422" t="s">
        <v>2461</v>
      </c>
      <c r="F65" s="11422" t="s">
        <v>2462</v>
      </c>
      <c r="G65" s="11422" t="s">
        <v>24</v>
      </c>
      <c r="H65" s="11422" t="s">
        <v>24</v>
      </c>
      <c r="I65" s="11422" t="s">
        <v>763</v>
      </c>
    </row>
    <row customHeight="1" ht="11.25">
      <c r="A66" s="11422" t="s">
        <v>2224</v>
      </c>
      <c r="B66" s="11422" t="s">
        <v>14</v>
      </c>
      <c r="C66" s="11422" t="s">
        <v>2463</v>
      </c>
      <c r="D66" s="11422" t="s">
        <v>2464</v>
      </c>
      <c r="E66" s="11422" t="s">
        <v>2465</v>
      </c>
      <c r="F66" s="11422" t="s">
        <v>2466</v>
      </c>
      <c r="G66" s="11422" t="s">
        <v>2467</v>
      </c>
      <c r="H66" s="11422" t="s">
        <v>24</v>
      </c>
      <c r="I66" s="11422" t="s">
        <v>763</v>
      </c>
    </row>
    <row customHeight="1" ht="11.25">
      <c r="A67" s="11422" t="s">
        <v>2224</v>
      </c>
      <c r="B67" s="11422" t="s">
        <v>14</v>
      </c>
      <c r="C67" s="11422" t="s">
        <v>2468</v>
      </c>
      <c r="D67" s="11422" t="s">
        <v>2469</v>
      </c>
      <c r="E67" s="11422" t="s">
        <v>2470</v>
      </c>
      <c r="F67" s="11422" t="s">
        <v>2466</v>
      </c>
      <c r="G67" s="11422" t="s">
        <v>24</v>
      </c>
      <c r="H67" s="11422" t="s">
        <v>24</v>
      </c>
      <c r="I67" s="11422" t="s">
        <v>763</v>
      </c>
    </row>
    <row customHeight="1" ht="11.25">
      <c r="A68" s="11422" t="s">
        <v>2224</v>
      </c>
      <c r="B68" s="11422" t="s">
        <v>14</v>
      </c>
      <c r="C68" s="11422" t="s">
        <v>2471</v>
      </c>
      <c r="D68" s="11422" t="s">
        <v>2472</v>
      </c>
      <c r="E68" s="11422" t="s">
        <v>2473</v>
      </c>
      <c r="F68" s="11422" t="s">
        <v>2236</v>
      </c>
      <c r="G68" s="11422" t="s">
        <v>24</v>
      </c>
      <c r="H68" s="11422" t="s">
        <v>24</v>
      </c>
      <c r="I68" s="11422" t="s">
        <v>763</v>
      </c>
    </row>
    <row customHeight="1" ht="11.25">
      <c r="A69" s="11422" t="s">
        <v>2224</v>
      </c>
      <c r="B69" s="11422" t="s">
        <v>14</v>
      </c>
      <c r="C69" s="11422" t="s">
        <v>2474</v>
      </c>
      <c r="D69" s="11422" t="s">
        <v>2475</v>
      </c>
      <c r="E69" s="11422" t="s">
        <v>2476</v>
      </c>
      <c r="F69" s="11422" t="s">
        <v>2395</v>
      </c>
      <c r="G69" s="11422" t="s">
        <v>24</v>
      </c>
      <c r="H69" s="11422" t="s">
        <v>24</v>
      </c>
      <c r="I69" s="11422" t="s">
        <v>763</v>
      </c>
    </row>
    <row customHeight="1" ht="11.25">
      <c r="A70" s="11422" t="s">
        <v>2224</v>
      </c>
      <c r="B70" s="11422" t="s">
        <v>14</v>
      </c>
      <c r="C70" s="11422" t="s">
        <v>2225</v>
      </c>
      <c r="D70" s="11422" t="s">
        <v>2226</v>
      </c>
      <c r="E70" s="11422" t="s">
        <v>2227</v>
      </c>
      <c r="F70" s="11422" t="s">
        <v>2228</v>
      </c>
      <c r="G70" s="11422" t="s">
        <v>2229</v>
      </c>
      <c r="H70" s="11422" t="s">
        <v>24</v>
      </c>
      <c r="I70" s="11422" t="s">
        <v>850</v>
      </c>
    </row>
    <row customHeight="1" ht="11.25">
      <c r="A71" s="11422" t="s">
        <v>2224</v>
      </c>
      <c r="B71" s="11422" t="s">
        <v>14</v>
      </c>
      <c r="C71" s="11422" t="s">
        <v>2230</v>
      </c>
      <c r="D71" s="11422" t="s">
        <v>2226</v>
      </c>
      <c r="E71" s="11422" t="s">
        <v>2227</v>
      </c>
      <c r="F71" s="11422" t="s">
        <v>2231</v>
      </c>
      <c r="G71" s="11422" t="s">
        <v>2232</v>
      </c>
      <c r="H71" s="11422" t="s">
        <v>24</v>
      </c>
      <c r="I71" s="11422" t="s">
        <v>850</v>
      </c>
    </row>
    <row customHeight="1" ht="11.25">
      <c r="A72" s="11422" t="s">
        <v>2224</v>
      </c>
      <c r="B72" s="11422" t="s">
        <v>14</v>
      </c>
      <c r="C72" s="11422" t="s">
        <v>2241</v>
      </c>
      <c r="D72" s="11422" t="s">
        <v>2242</v>
      </c>
      <c r="E72" s="11422" t="s">
        <v>2243</v>
      </c>
      <c r="F72" s="11422" t="s">
        <v>2244</v>
      </c>
      <c r="G72" s="11422" t="s">
        <v>24</v>
      </c>
      <c r="H72" s="11422" t="s">
        <v>24</v>
      </c>
      <c r="I72" s="11422" t="s">
        <v>850</v>
      </c>
    </row>
    <row customHeight="1" ht="11.25">
      <c r="A73" s="11422" t="s">
        <v>2224</v>
      </c>
      <c r="B73" s="11422" t="s">
        <v>14</v>
      </c>
      <c r="C73" s="11422" t="s">
        <v>2245</v>
      </c>
      <c r="D73" s="11422" t="s">
        <v>2246</v>
      </c>
      <c r="E73" s="11422" t="s">
        <v>2247</v>
      </c>
      <c r="F73" s="11422" t="s">
        <v>2244</v>
      </c>
      <c r="G73" s="11422" t="s">
        <v>2248</v>
      </c>
      <c r="H73" s="11422" t="s">
        <v>24</v>
      </c>
      <c r="I73" s="11422" t="s">
        <v>850</v>
      </c>
    </row>
    <row customHeight="1" ht="11.25">
      <c r="A74" s="11422" t="s">
        <v>2224</v>
      </c>
      <c r="B74" s="11422" t="s">
        <v>14</v>
      </c>
      <c r="C74" s="11422" t="s">
        <v>2249</v>
      </c>
      <c r="D74" s="11422" t="s">
        <v>2250</v>
      </c>
      <c r="E74" s="11422" t="s">
        <v>2251</v>
      </c>
      <c r="F74" s="11422" t="s">
        <v>2252</v>
      </c>
      <c r="G74" s="11422" t="s">
        <v>24</v>
      </c>
      <c r="H74" s="11422" t="s">
        <v>24</v>
      </c>
      <c r="I74" s="11422" t="s">
        <v>850</v>
      </c>
    </row>
    <row customHeight="1" ht="11.25">
      <c r="A75" s="11422" t="s">
        <v>2224</v>
      </c>
      <c r="B75" s="11422" t="s">
        <v>14</v>
      </c>
      <c r="C75" s="11422" t="s">
        <v>2253</v>
      </c>
      <c r="D75" s="11422" t="s">
        <v>2254</v>
      </c>
      <c r="E75" s="11422" t="s">
        <v>2255</v>
      </c>
      <c r="F75" s="11422" t="s">
        <v>51</v>
      </c>
      <c r="G75" s="11422" t="s">
        <v>24</v>
      </c>
      <c r="H75" s="11422" t="s">
        <v>24</v>
      </c>
      <c r="I75" s="11422" t="s">
        <v>850</v>
      </c>
    </row>
    <row customHeight="1" ht="11.25">
      <c r="A76" s="11422" t="s">
        <v>2224</v>
      </c>
      <c r="B76" s="11422" t="s">
        <v>14</v>
      </c>
      <c r="C76" s="11422" t="s">
        <v>2260</v>
      </c>
      <c r="D76" s="11422" t="s">
        <v>46</v>
      </c>
      <c r="E76" s="11422" t="s">
        <v>49</v>
      </c>
      <c r="F76" s="11422" t="s">
        <v>51</v>
      </c>
      <c r="G76" s="11422" t="s">
        <v>24</v>
      </c>
      <c r="H76" s="11422" t="s">
        <v>24</v>
      </c>
      <c r="I76" s="11422" t="s">
        <v>850</v>
      </c>
    </row>
    <row customHeight="1" ht="11.25">
      <c r="A77" s="11422" t="s">
        <v>2224</v>
      </c>
      <c r="B77" s="11422" t="s">
        <v>14</v>
      </c>
      <c r="C77" s="11422" t="s">
        <v>2265</v>
      </c>
      <c r="D77" s="11422" t="s">
        <v>2266</v>
      </c>
      <c r="E77" s="11422" t="s">
        <v>2267</v>
      </c>
      <c r="F77" s="11422" t="s">
        <v>2268</v>
      </c>
      <c r="G77" s="11422" t="s">
        <v>2269</v>
      </c>
      <c r="H77" s="11422" t="s">
        <v>24</v>
      </c>
      <c r="I77" s="11422" t="s">
        <v>850</v>
      </c>
    </row>
    <row customHeight="1" ht="11.25">
      <c r="A78" s="11422" t="s">
        <v>2224</v>
      </c>
      <c r="B78" s="11422" t="s">
        <v>14</v>
      </c>
      <c r="C78" s="11422" t="s">
        <v>2270</v>
      </c>
      <c r="D78" s="11422" t="s">
        <v>2271</v>
      </c>
      <c r="E78" s="11422" t="s">
        <v>2272</v>
      </c>
      <c r="F78" s="11422" t="s">
        <v>2273</v>
      </c>
      <c r="G78" s="11422" t="s">
        <v>24</v>
      </c>
      <c r="H78" s="11422" t="s">
        <v>24</v>
      </c>
      <c r="I78" s="11422" t="s">
        <v>850</v>
      </c>
    </row>
    <row customHeight="1" ht="11.25">
      <c r="A79" s="11422" t="s">
        <v>2224</v>
      </c>
      <c r="B79" s="11422" t="s">
        <v>14</v>
      </c>
      <c r="C79" s="11422" t="s">
        <v>2283</v>
      </c>
      <c r="D79" s="11422" t="s">
        <v>2284</v>
      </c>
      <c r="E79" s="11422" t="s">
        <v>2285</v>
      </c>
      <c r="F79" s="11422" t="s">
        <v>51</v>
      </c>
      <c r="G79" s="11422" t="s">
        <v>2286</v>
      </c>
      <c r="H79" s="11422" t="s">
        <v>24</v>
      </c>
      <c r="I79" s="11422" t="s">
        <v>850</v>
      </c>
    </row>
    <row customHeight="1" ht="11.25">
      <c r="A80" s="11422" t="s">
        <v>2224</v>
      </c>
      <c r="B80" s="11422" t="s">
        <v>14</v>
      </c>
      <c r="C80" s="11422" t="s">
        <v>2294</v>
      </c>
      <c r="D80" s="11422" t="s">
        <v>2295</v>
      </c>
      <c r="E80" s="11422" t="s">
        <v>2296</v>
      </c>
      <c r="F80" s="11422" t="s">
        <v>51</v>
      </c>
      <c r="G80" s="11422" t="s">
        <v>2297</v>
      </c>
      <c r="H80" s="11422" t="s">
        <v>24</v>
      </c>
      <c r="I80" s="11422" t="s">
        <v>850</v>
      </c>
    </row>
    <row customHeight="1" ht="11.25">
      <c r="A81" s="11422" t="s">
        <v>2224</v>
      </c>
      <c r="B81" s="11422" t="s">
        <v>14</v>
      </c>
      <c r="C81" s="11422" t="s">
        <v>24</v>
      </c>
      <c r="D81" s="11422" t="s">
        <v>2298</v>
      </c>
      <c r="E81" s="11422" t="s">
        <v>2299</v>
      </c>
      <c r="F81" s="11422" t="s">
        <v>51</v>
      </c>
      <c r="G81" s="11422" t="s">
        <v>24</v>
      </c>
      <c r="H81" s="11422" t="s">
        <v>24</v>
      </c>
      <c r="I81" s="11422" t="s">
        <v>850</v>
      </c>
    </row>
    <row customHeight="1" ht="11.25">
      <c r="A82" s="11422" t="s">
        <v>2224</v>
      </c>
      <c r="B82" s="11422" t="s">
        <v>14</v>
      </c>
      <c r="C82" s="11422" t="s">
        <v>2300</v>
      </c>
      <c r="D82" s="11422" t="s">
        <v>2301</v>
      </c>
      <c r="E82" s="11422" t="s">
        <v>2302</v>
      </c>
      <c r="F82" s="11422" t="s">
        <v>2303</v>
      </c>
      <c r="G82" s="11422" t="s">
        <v>24</v>
      </c>
      <c r="H82" s="11422" t="s">
        <v>24</v>
      </c>
      <c r="I82" s="11422" t="s">
        <v>850</v>
      </c>
    </row>
    <row customHeight="1" ht="11.25">
      <c r="A83" s="11422" t="s">
        <v>2224</v>
      </c>
      <c r="B83" s="11422" t="s">
        <v>14</v>
      </c>
      <c r="C83" s="11422" t="s">
        <v>2320</v>
      </c>
      <c r="D83" s="11422" t="s">
        <v>2321</v>
      </c>
      <c r="E83" s="11422" t="s">
        <v>2322</v>
      </c>
      <c r="F83" s="11422" t="s">
        <v>2323</v>
      </c>
      <c r="G83" s="11422" t="s">
        <v>24</v>
      </c>
      <c r="H83" s="11422" t="s">
        <v>24</v>
      </c>
      <c r="I83" s="11422" t="s">
        <v>850</v>
      </c>
    </row>
    <row customHeight="1" ht="11.25">
      <c r="A84" s="11422" t="s">
        <v>2224</v>
      </c>
      <c r="B84" s="11422" t="s">
        <v>14</v>
      </c>
      <c r="C84" s="11422" t="s">
        <v>2327</v>
      </c>
      <c r="D84" s="11422" t="s">
        <v>2328</v>
      </c>
      <c r="E84" s="11422" t="s">
        <v>2329</v>
      </c>
      <c r="F84" s="11422" t="s">
        <v>2330</v>
      </c>
      <c r="G84" s="11422" t="s">
        <v>24</v>
      </c>
      <c r="H84" s="11422" t="s">
        <v>24</v>
      </c>
      <c r="I84" s="11422" t="s">
        <v>850</v>
      </c>
    </row>
    <row customHeight="1" ht="11.25">
      <c r="A85" s="11422" t="s">
        <v>2224</v>
      </c>
      <c r="B85" s="11422" t="s">
        <v>14</v>
      </c>
      <c r="C85" s="11422" t="s">
        <v>2331</v>
      </c>
      <c r="D85" s="11422" t="s">
        <v>2332</v>
      </c>
      <c r="E85" s="11422" t="s">
        <v>2333</v>
      </c>
      <c r="F85" s="11422" t="s">
        <v>2334</v>
      </c>
      <c r="G85" s="11422" t="s">
        <v>24</v>
      </c>
      <c r="H85" s="11422" t="s">
        <v>24</v>
      </c>
      <c r="I85" s="11422" t="s">
        <v>850</v>
      </c>
    </row>
    <row customHeight="1" ht="11.25">
      <c r="A86" s="11422" t="s">
        <v>2224</v>
      </c>
      <c r="B86" s="11422" t="s">
        <v>14</v>
      </c>
      <c r="C86" s="11422" t="s">
        <v>2335</v>
      </c>
      <c r="D86" s="11422" t="s">
        <v>2336</v>
      </c>
      <c r="E86" s="11422" t="s">
        <v>2337</v>
      </c>
      <c r="F86" s="11422" t="s">
        <v>2236</v>
      </c>
      <c r="G86" s="11422" t="s">
        <v>24</v>
      </c>
      <c r="H86" s="11422" t="s">
        <v>24</v>
      </c>
      <c r="I86" s="11422" t="s">
        <v>850</v>
      </c>
    </row>
    <row customHeight="1" ht="11.25">
      <c r="A87" s="11422" t="s">
        <v>2224</v>
      </c>
      <c r="B87" s="11422" t="s">
        <v>14</v>
      </c>
      <c r="C87" s="11422" t="s">
        <v>2338</v>
      </c>
      <c r="D87" s="11422" t="s">
        <v>2339</v>
      </c>
      <c r="E87" s="11422" t="s">
        <v>2340</v>
      </c>
      <c r="F87" s="11422" t="s">
        <v>2277</v>
      </c>
      <c r="G87" s="11422" t="s">
        <v>24</v>
      </c>
      <c r="H87" s="11422" t="s">
        <v>24</v>
      </c>
      <c r="I87" s="11422" t="s">
        <v>850</v>
      </c>
    </row>
    <row customHeight="1" ht="11.25">
      <c r="A88" s="11422" t="s">
        <v>2224</v>
      </c>
      <c r="B88" s="11422" t="s">
        <v>14</v>
      </c>
      <c r="C88" s="11422" t="s">
        <v>2341</v>
      </c>
      <c r="D88" s="11422" t="s">
        <v>2342</v>
      </c>
      <c r="E88" s="11422" t="s">
        <v>2343</v>
      </c>
      <c r="F88" s="11422" t="s">
        <v>2236</v>
      </c>
      <c r="G88" s="11422" t="s">
        <v>24</v>
      </c>
      <c r="H88" s="11422" t="s">
        <v>24</v>
      </c>
      <c r="I88" s="11422" t="s">
        <v>850</v>
      </c>
    </row>
    <row customHeight="1" ht="11.25">
      <c r="A89" s="11422" t="s">
        <v>2224</v>
      </c>
      <c r="B89" s="11422" t="s">
        <v>14</v>
      </c>
      <c r="C89" s="11422" t="s">
        <v>2344</v>
      </c>
      <c r="D89" s="11422" t="s">
        <v>2345</v>
      </c>
      <c r="E89" s="11422" t="s">
        <v>2346</v>
      </c>
      <c r="F89" s="11422" t="s">
        <v>51</v>
      </c>
      <c r="G89" s="11422" t="s">
        <v>24</v>
      </c>
      <c r="H89" s="11422" t="s">
        <v>24</v>
      </c>
      <c r="I89" s="11422" t="s">
        <v>850</v>
      </c>
    </row>
    <row customHeight="1" ht="11.25">
      <c r="A90" s="11422" t="s">
        <v>2224</v>
      </c>
      <c r="B90" s="11422" t="s">
        <v>14</v>
      </c>
      <c r="C90" s="11422" t="s">
        <v>2358</v>
      </c>
      <c r="D90" s="11422" t="s">
        <v>2359</v>
      </c>
      <c r="E90" s="11422" t="s">
        <v>2360</v>
      </c>
      <c r="F90" s="11422" t="s">
        <v>2303</v>
      </c>
      <c r="G90" s="11422" t="s">
        <v>24</v>
      </c>
      <c r="H90" s="11422" t="s">
        <v>24</v>
      </c>
      <c r="I90" s="11422" t="s">
        <v>850</v>
      </c>
    </row>
    <row customHeight="1" ht="11.25">
      <c r="A91" s="11422" t="s">
        <v>2224</v>
      </c>
      <c r="B91" s="11422" t="s">
        <v>14</v>
      </c>
      <c r="C91" s="11422" t="s">
        <v>2361</v>
      </c>
      <c r="D91" s="11422" t="s">
        <v>2362</v>
      </c>
      <c r="E91" s="11422" t="s">
        <v>2363</v>
      </c>
      <c r="F91" s="11422" t="s">
        <v>2236</v>
      </c>
      <c r="G91" s="11422" t="s">
        <v>24</v>
      </c>
      <c r="H91" s="11422" t="s">
        <v>24</v>
      </c>
      <c r="I91" s="11422" t="s">
        <v>850</v>
      </c>
    </row>
    <row customHeight="1" ht="11.25">
      <c r="A92" s="11422" t="s">
        <v>2224</v>
      </c>
      <c r="B92" s="11422" t="s">
        <v>14</v>
      </c>
      <c r="C92" s="11422" t="s">
        <v>2364</v>
      </c>
      <c r="D92" s="11422" t="s">
        <v>2365</v>
      </c>
      <c r="E92" s="11422" t="s">
        <v>2366</v>
      </c>
      <c r="F92" s="11422" t="s">
        <v>2277</v>
      </c>
      <c r="G92" s="11422" t="s">
        <v>24</v>
      </c>
      <c r="H92" s="11422" t="s">
        <v>24</v>
      </c>
      <c r="I92" s="11422" t="s">
        <v>850</v>
      </c>
    </row>
    <row customHeight="1" ht="11.25">
      <c r="A93" s="11422" t="s">
        <v>2224</v>
      </c>
      <c r="B93" s="11422" t="s">
        <v>14</v>
      </c>
      <c r="C93" s="11422" t="s">
        <v>2367</v>
      </c>
      <c r="D93" s="11422" t="s">
        <v>2368</v>
      </c>
      <c r="E93" s="11422" t="s">
        <v>2369</v>
      </c>
      <c r="F93" s="11422" t="s">
        <v>2370</v>
      </c>
      <c r="G93" s="11422" t="s">
        <v>24</v>
      </c>
      <c r="H93" s="11422" t="s">
        <v>24</v>
      </c>
      <c r="I93" s="11422" t="s">
        <v>850</v>
      </c>
    </row>
    <row customHeight="1" ht="11.25">
      <c r="A94" s="11422" t="s">
        <v>2224</v>
      </c>
      <c r="B94" s="11422" t="s">
        <v>14</v>
      </c>
      <c r="C94" s="11422" t="s">
        <v>2379</v>
      </c>
      <c r="D94" s="11422" t="s">
        <v>2380</v>
      </c>
      <c r="E94" s="11422" t="s">
        <v>2381</v>
      </c>
      <c r="F94" s="11422" t="s">
        <v>2236</v>
      </c>
      <c r="G94" s="11422" t="s">
        <v>24</v>
      </c>
      <c r="H94" s="11422" t="s">
        <v>24</v>
      </c>
      <c r="I94" s="11422" t="s">
        <v>850</v>
      </c>
    </row>
    <row customHeight="1" ht="11.25">
      <c r="A95" s="11422" t="s">
        <v>2224</v>
      </c>
      <c r="B95" s="11422" t="s">
        <v>14</v>
      </c>
      <c r="C95" s="11422" t="s">
        <v>2382</v>
      </c>
      <c r="D95" s="11422" t="s">
        <v>2383</v>
      </c>
      <c r="E95" s="11422" t="s">
        <v>2384</v>
      </c>
      <c r="F95" s="11422" t="s">
        <v>2385</v>
      </c>
      <c r="G95" s="11422" t="s">
        <v>2386</v>
      </c>
      <c r="H95" s="11422" t="s">
        <v>24</v>
      </c>
      <c r="I95" s="11422" t="s">
        <v>850</v>
      </c>
    </row>
    <row customHeight="1" ht="11.25">
      <c r="A96" s="11422" t="s">
        <v>2224</v>
      </c>
      <c r="B96" s="11422" t="s">
        <v>14</v>
      </c>
      <c r="C96" s="11422" t="s">
        <v>2392</v>
      </c>
      <c r="D96" s="11422" t="s">
        <v>2393</v>
      </c>
      <c r="E96" s="11422" t="s">
        <v>2394</v>
      </c>
      <c r="F96" s="11422" t="s">
        <v>2395</v>
      </c>
      <c r="G96" s="11422" t="s">
        <v>24</v>
      </c>
      <c r="H96" s="11422" t="s">
        <v>24</v>
      </c>
      <c r="I96" s="11422" t="s">
        <v>850</v>
      </c>
    </row>
    <row customHeight="1" ht="11.25">
      <c r="A97" s="11422" t="s">
        <v>2224</v>
      </c>
      <c r="B97" s="11422" t="s">
        <v>14</v>
      </c>
      <c r="C97" s="11422" t="s">
        <v>2396</v>
      </c>
      <c r="D97" s="11422" t="s">
        <v>2397</v>
      </c>
      <c r="E97" s="11422" t="s">
        <v>2398</v>
      </c>
      <c r="F97" s="11422" t="s">
        <v>2236</v>
      </c>
      <c r="G97" s="11422" t="s">
        <v>24</v>
      </c>
      <c r="H97" s="11422" t="s">
        <v>24</v>
      </c>
      <c r="I97" s="11422" t="s">
        <v>850</v>
      </c>
    </row>
    <row customHeight="1" ht="11.25">
      <c r="A98" s="11422" t="s">
        <v>2224</v>
      </c>
      <c r="B98" s="11422" t="s">
        <v>14</v>
      </c>
      <c r="C98" s="11422" t="s">
        <v>2399</v>
      </c>
      <c r="D98" s="11422" t="s">
        <v>2400</v>
      </c>
      <c r="E98" s="11422" t="s">
        <v>2401</v>
      </c>
      <c r="F98" s="11422" t="s">
        <v>2236</v>
      </c>
      <c r="G98" s="11422" t="s">
        <v>24</v>
      </c>
      <c r="H98" s="11422" t="s">
        <v>24</v>
      </c>
      <c r="I98" s="11422" t="s">
        <v>850</v>
      </c>
    </row>
    <row customHeight="1" ht="11.25">
      <c r="A99" s="11422" t="s">
        <v>2224</v>
      </c>
      <c r="B99" s="11422" t="s">
        <v>14</v>
      </c>
      <c r="C99" s="11422" t="s">
        <v>2402</v>
      </c>
      <c r="D99" s="11422" t="s">
        <v>2403</v>
      </c>
      <c r="E99" s="11422" t="s">
        <v>2404</v>
      </c>
      <c r="F99" s="11422" t="s">
        <v>2405</v>
      </c>
      <c r="G99" s="11422" t="s">
        <v>2406</v>
      </c>
      <c r="H99" s="11422" t="s">
        <v>24</v>
      </c>
      <c r="I99" s="11422" t="s">
        <v>850</v>
      </c>
    </row>
    <row customHeight="1" ht="11.25">
      <c r="A100" s="11422" t="s">
        <v>2224</v>
      </c>
      <c r="B100" s="11422" t="s">
        <v>14</v>
      </c>
      <c r="C100" s="11422" t="s">
        <v>2407</v>
      </c>
      <c r="D100" s="11422" t="s">
        <v>2408</v>
      </c>
      <c r="E100" s="11422" t="s">
        <v>2409</v>
      </c>
      <c r="F100" s="11422" t="s">
        <v>51</v>
      </c>
      <c r="G100" s="11422" t="s">
        <v>24</v>
      </c>
      <c r="H100" s="11422" t="s">
        <v>2410</v>
      </c>
      <c r="I100" s="11422" t="s">
        <v>850</v>
      </c>
    </row>
    <row customHeight="1" ht="11.25">
      <c r="A101" s="11422" t="s">
        <v>2224</v>
      </c>
      <c r="B101" s="11422" t="s">
        <v>14</v>
      </c>
      <c r="C101" s="11422" t="s">
        <v>2411</v>
      </c>
      <c r="D101" s="11422" t="s">
        <v>2412</v>
      </c>
      <c r="E101" s="11422" t="s">
        <v>2413</v>
      </c>
      <c r="F101" s="11422" t="s">
        <v>2318</v>
      </c>
      <c r="G101" s="11422" t="s">
        <v>24</v>
      </c>
      <c r="H101" s="11422" t="s">
        <v>24</v>
      </c>
      <c r="I101" s="11422" t="s">
        <v>850</v>
      </c>
    </row>
    <row customHeight="1" ht="11.25">
      <c r="A102" s="11422" t="s">
        <v>2224</v>
      </c>
      <c r="B102" s="11422" t="s">
        <v>14</v>
      </c>
      <c r="C102" s="11422" t="s">
        <v>2417</v>
      </c>
      <c r="D102" s="11422" t="s">
        <v>2418</v>
      </c>
      <c r="E102" s="11422" t="s">
        <v>2419</v>
      </c>
      <c r="F102" s="11422" t="s">
        <v>2334</v>
      </c>
      <c r="G102" s="11422" t="s">
        <v>2420</v>
      </c>
      <c r="H102" s="11422" t="s">
        <v>24</v>
      </c>
      <c r="I102" s="11422" t="s">
        <v>850</v>
      </c>
    </row>
    <row customHeight="1" ht="11.25">
      <c r="A103" s="11422" t="s">
        <v>2224</v>
      </c>
      <c r="B103" s="11422" t="s">
        <v>14</v>
      </c>
      <c r="C103" s="11422" t="s">
        <v>2421</v>
      </c>
      <c r="D103" s="11422" t="s">
        <v>2422</v>
      </c>
      <c r="E103" s="11422" t="s">
        <v>2423</v>
      </c>
      <c r="F103" s="11422" t="s">
        <v>2405</v>
      </c>
      <c r="G103" s="11422" t="s">
        <v>24</v>
      </c>
      <c r="H103" s="11422" t="s">
        <v>24</v>
      </c>
      <c r="I103" s="11422" t="s">
        <v>850</v>
      </c>
    </row>
    <row customHeight="1" ht="11.25">
      <c r="A104" s="11422" t="s">
        <v>2224</v>
      </c>
      <c r="B104" s="11422" t="s">
        <v>14</v>
      </c>
      <c r="C104" s="11422" t="s">
        <v>2429</v>
      </c>
      <c r="D104" s="11422" t="s">
        <v>2430</v>
      </c>
      <c r="E104" s="11422" t="s">
        <v>2431</v>
      </c>
      <c r="F104" s="11422" t="s">
        <v>2432</v>
      </c>
      <c r="G104" s="11422" t="s">
        <v>24</v>
      </c>
      <c r="H104" s="11422" t="s">
        <v>24</v>
      </c>
      <c r="I104" s="11422" t="s">
        <v>850</v>
      </c>
    </row>
    <row customHeight="1" ht="11.25">
      <c r="A105" s="11422" t="s">
        <v>2224</v>
      </c>
      <c r="B105" s="11422" t="s">
        <v>14</v>
      </c>
      <c r="C105" s="11422" t="s">
        <v>2433</v>
      </c>
      <c r="D105" s="11422" t="s">
        <v>2434</v>
      </c>
      <c r="E105" s="11422" t="s">
        <v>2435</v>
      </c>
      <c r="F105" s="11422" t="s">
        <v>2268</v>
      </c>
      <c r="G105" s="11422" t="s">
        <v>24</v>
      </c>
      <c r="H105" s="11422" t="s">
        <v>24</v>
      </c>
      <c r="I105" s="11422" t="s">
        <v>850</v>
      </c>
    </row>
    <row customHeight="1" ht="11.25">
      <c r="A106" s="11422" t="s">
        <v>2224</v>
      </c>
      <c r="B106" s="11422" t="s">
        <v>14</v>
      </c>
      <c r="C106" s="11422" t="s">
        <v>2436</v>
      </c>
      <c r="D106" s="11422" t="s">
        <v>2437</v>
      </c>
      <c r="E106" s="11422" t="s">
        <v>2438</v>
      </c>
      <c r="F106" s="11422" t="s">
        <v>51</v>
      </c>
      <c r="G106" s="11422" t="s">
        <v>24</v>
      </c>
      <c r="H106" s="11422" t="s">
        <v>24</v>
      </c>
      <c r="I106" s="11422" t="s">
        <v>850</v>
      </c>
    </row>
    <row customHeight="1" ht="11.25">
      <c r="A107" s="11422" t="s">
        <v>2224</v>
      </c>
      <c r="B107" s="11422" t="s">
        <v>14</v>
      </c>
      <c r="C107" s="11422" t="s">
        <v>2439</v>
      </c>
      <c r="D107" s="11422" t="s">
        <v>2440</v>
      </c>
      <c r="E107" s="11422" t="s">
        <v>2441</v>
      </c>
      <c r="F107" s="11422" t="s">
        <v>2442</v>
      </c>
      <c r="G107" s="11422" t="s">
        <v>2443</v>
      </c>
      <c r="H107" s="11422" t="s">
        <v>24</v>
      </c>
      <c r="I107" s="11422" t="s">
        <v>850</v>
      </c>
    </row>
    <row customHeight="1" ht="11.25">
      <c r="A108" s="11422" t="s">
        <v>2224</v>
      </c>
      <c r="B108" s="11422" t="s">
        <v>14</v>
      </c>
      <c r="C108" s="11422" t="s">
        <v>2447</v>
      </c>
      <c r="D108" s="11422" t="s">
        <v>2448</v>
      </c>
      <c r="E108" s="11422" t="s">
        <v>2449</v>
      </c>
      <c r="F108" s="11422" t="s">
        <v>51</v>
      </c>
      <c r="G108" s="11422" t="s">
        <v>24</v>
      </c>
      <c r="H108" s="11422" t="s">
        <v>24</v>
      </c>
      <c r="I108" s="11422" t="s">
        <v>850</v>
      </c>
    </row>
    <row customHeight="1" ht="11.25">
      <c r="A109" s="11422" t="s">
        <v>2224</v>
      </c>
      <c r="B109" s="11422" t="s">
        <v>14</v>
      </c>
      <c r="C109" s="11422" t="s">
        <v>2450</v>
      </c>
      <c r="D109" s="11422" t="s">
        <v>2451</v>
      </c>
      <c r="E109" s="11422" t="s">
        <v>2441</v>
      </c>
      <c r="F109" s="11422" t="s">
        <v>2452</v>
      </c>
      <c r="G109" s="11422" t="s">
        <v>2453</v>
      </c>
      <c r="H109" s="11422" t="s">
        <v>24</v>
      </c>
      <c r="I109" s="11422" t="s">
        <v>850</v>
      </c>
    </row>
    <row customHeight="1" ht="11.25">
      <c r="A110" s="11422" t="s">
        <v>2224</v>
      </c>
      <c r="B110" s="11422" t="s">
        <v>14</v>
      </c>
      <c r="C110" s="11422" t="s">
        <v>2459</v>
      </c>
      <c r="D110" s="11422" t="s">
        <v>2460</v>
      </c>
      <c r="E110" s="11422" t="s">
        <v>2461</v>
      </c>
      <c r="F110" s="11422" t="s">
        <v>2462</v>
      </c>
      <c r="G110" s="11422" t="s">
        <v>24</v>
      </c>
      <c r="H110" s="11422" t="s">
        <v>24</v>
      </c>
      <c r="I110" s="11422" t="s">
        <v>850</v>
      </c>
    </row>
    <row customHeight="1" ht="11.25">
      <c r="A111" s="11422" t="s">
        <v>2224</v>
      </c>
      <c r="B111" s="11422" t="s">
        <v>14</v>
      </c>
      <c r="C111" s="11422" t="s">
        <v>2468</v>
      </c>
      <c r="D111" s="11422" t="s">
        <v>2469</v>
      </c>
      <c r="E111" s="11422" t="s">
        <v>2470</v>
      </c>
      <c r="F111" s="11422" t="s">
        <v>2466</v>
      </c>
      <c r="G111" s="11422" t="s">
        <v>24</v>
      </c>
      <c r="H111" s="11422" t="s">
        <v>24</v>
      </c>
      <c r="I111" s="11422" t="s">
        <v>850</v>
      </c>
    </row>
    <row customHeight="1" ht="11.25">
      <c r="A112" s="11422" t="s">
        <v>2224</v>
      </c>
      <c r="B112" s="11422" t="s">
        <v>14</v>
      </c>
      <c r="C112" s="11422" t="s">
        <v>2225</v>
      </c>
      <c r="D112" s="11422" t="s">
        <v>2226</v>
      </c>
      <c r="E112" s="11422" t="s">
        <v>2227</v>
      </c>
      <c r="F112" s="11422" t="s">
        <v>2228</v>
      </c>
      <c r="G112" s="11422" t="s">
        <v>2229</v>
      </c>
      <c r="H112" s="11422" t="s">
        <v>24</v>
      </c>
      <c r="I112" s="11422" t="s">
        <v>809</v>
      </c>
    </row>
    <row customHeight="1" ht="11.25">
      <c r="A113" s="11422" t="s">
        <v>2224</v>
      </c>
      <c r="B113" s="11422" t="s">
        <v>14</v>
      </c>
      <c r="C113" s="11422" t="s">
        <v>2230</v>
      </c>
      <c r="D113" s="11422" t="s">
        <v>2226</v>
      </c>
      <c r="E113" s="11422" t="s">
        <v>2227</v>
      </c>
      <c r="F113" s="11422" t="s">
        <v>2231</v>
      </c>
      <c r="G113" s="11422" t="s">
        <v>2232</v>
      </c>
      <c r="H113" s="11422" t="s">
        <v>24</v>
      </c>
      <c r="I113" s="11422" t="s">
        <v>809</v>
      </c>
    </row>
    <row customHeight="1" ht="11.25">
      <c r="A114" s="11422" t="s">
        <v>2224</v>
      </c>
      <c r="B114" s="11422" t="s">
        <v>14</v>
      </c>
      <c r="C114" s="11422" t="s">
        <v>2477</v>
      </c>
      <c r="D114" s="11422" t="s">
        <v>2478</v>
      </c>
      <c r="E114" s="11422" t="s">
        <v>2479</v>
      </c>
      <c r="F114" s="11422" t="s">
        <v>2290</v>
      </c>
      <c r="G114" s="11422" t="s">
        <v>2480</v>
      </c>
      <c r="H114" s="11422" t="s">
        <v>24</v>
      </c>
      <c r="I114" s="11422" t="s">
        <v>809</v>
      </c>
    </row>
    <row customHeight="1" ht="11.25">
      <c r="A115" s="11422" t="s">
        <v>2224</v>
      </c>
      <c r="B115" s="11422" t="s">
        <v>14</v>
      </c>
      <c r="C115" s="11422" t="s">
        <v>2233</v>
      </c>
      <c r="D115" s="11422" t="s">
        <v>2234</v>
      </c>
      <c r="E115" s="11422" t="s">
        <v>2235</v>
      </c>
      <c r="F115" s="11422" t="s">
        <v>2236</v>
      </c>
      <c r="G115" s="11422" t="s">
        <v>24</v>
      </c>
      <c r="H115" s="11422" t="s">
        <v>24</v>
      </c>
      <c r="I115" s="11422" t="s">
        <v>809</v>
      </c>
    </row>
    <row customHeight="1" ht="11.25">
      <c r="A116" s="11422" t="s">
        <v>2224</v>
      </c>
      <c r="B116" s="11422" t="s">
        <v>14</v>
      </c>
      <c r="C116" s="11422" t="s">
        <v>2481</v>
      </c>
      <c r="D116" s="11422" t="s">
        <v>2482</v>
      </c>
      <c r="E116" s="11422" t="s">
        <v>2483</v>
      </c>
      <c r="F116" s="11422" t="s">
        <v>2236</v>
      </c>
      <c r="G116" s="11422" t="s">
        <v>2484</v>
      </c>
      <c r="H116" s="11422" t="s">
        <v>24</v>
      </c>
      <c r="I116" s="11422" t="s">
        <v>809</v>
      </c>
    </row>
    <row customHeight="1" ht="11.25">
      <c r="A117" s="11422" t="s">
        <v>2224</v>
      </c>
      <c r="B117" s="11422" t="s">
        <v>14</v>
      </c>
      <c r="C117" s="11422" t="s">
        <v>2245</v>
      </c>
      <c r="D117" s="11422" t="s">
        <v>2246</v>
      </c>
      <c r="E117" s="11422" t="s">
        <v>2247</v>
      </c>
      <c r="F117" s="11422" t="s">
        <v>2244</v>
      </c>
      <c r="G117" s="11422" t="s">
        <v>2248</v>
      </c>
      <c r="H117" s="11422" t="s">
        <v>24</v>
      </c>
      <c r="I117" s="11422" t="s">
        <v>809</v>
      </c>
    </row>
    <row customHeight="1" ht="11.25">
      <c r="A118" s="11422" t="s">
        <v>2224</v>
      </c>
      <c r="B118" s="11422" t="s">
        <v>14</v>
      </c>
      <c r="C118" s="11422" t="s">
        <v>2485</v>
      </c>
      <c r="D118" s="11422" t="s">
        <v>2486</v>
      </c>
      <c r="E118" s="11422" t="s">
        <v>2487</v>
      </c>
      <c r="F118" s="11422" t="s">
        <v>2252</v>
      </c>
      <c r="G118" s="11422" t="s">
        <v>2488</v>
      </c>
      <c r="H118" s="11422" t="s">
        <v>24</v>
      </c>
      <c r="I118" s="11422" t="s">
        <v>809</v>
      </c>
    </row>
    <row customHeight="1" ht="11.25">
      <c r="A119" s="11422" t="s">
        <v>2224</v>
      </c>
      <c r="B119" s="11422" t="s">
        <v>14</v>
      </c>
      <c r="C119" s="11422" t="s">
        <v>2256</v>
      </c>
      <c r="D119" s="11422" t="s">
        <v>2257</v>
      </c>
      <c r="E119" s="11422" t="s">
        <v>2258</v>
      </c>
      <c r="F119" s="11422" t="s">
        <v>51</v>
      </c>
      <c r="G119" s="11422" t="s">
        <v>2259</v>
      </c>
      <c r="H119" s="11422" t="s">
        <v>24</v>
      </c>
      <c r="I119" s="11422" t="s">
        <v>809</v>
      </c>
    </row>
    <row customHeight="1" ht="11.25">
      <c r="A120" s="11422" t="s">
        <v>2224</v>
      </c>
      <c r="B120" s="11422" t="s">
        <v>14</v>
      </c>
      <c r="C120" s="11422" t="s">
        <v>2261</v>
      </c>
      <c r="D120" s="11422" t="s">
        <v>2262</v>
      </c>
      <c r="E120" s="11422" t="s">
        <v>2263</v>
      </c>
      <c r="F120" s="11422" t="s">
        <v>2264</v>
      </c>
      <c r="G120" s="11422" t="s">
        <v>24</v>
      </c>
      <c r="H120" s="11422" t="s">
        <v>24</v>
      </c>
      <c r="I120" s="11422" t="s">
        <v>809</v>
      </c>
    </row>
    <row customHeight="1" ht="11.25">
      <c r="A121" s="11422" t="s">
        <v>2224</v>
      </c>
      <c r="B121" s="11422" t="s">
        <v>14</v>
      </c>
      <c r="C121" s="11422" t="s">
        <v>2265</v>
      </c>
      <c r="D121" s="11422" t="s">
        <v>2266</v>
      </c>
      <c r="E121" s="11422" t="s">
        <v>2267</v>
      </c>
      <c r="F121" s="11422" t="s">
        <v>2268</v>
      </c>
      <c r="G121" s="11422" t="s">
        <v>2269</v>
      </c>
      <c r="H121" s="11422" t="s">
        <v>24</v>
      </c>
      <c r="I121" s="11422" t="s">
        <v>809</v>
      </c>
    </row>
    <row customHeight="1" ht="11.25">
      <c r="A122" s="11422" t="s">
        <v>2224</v>
      </c>
      <c r="B122" s="11422" t="s">
        <v>14</v>
      </c>
      <c r="C122" s="11422" t="s">
        <v>2489</v>
      </c>
      <c r="D122" s="11422" t="s">
        <v>2490</v>
      </c>
      <c r="E122" s="11422" t="s">
        <v>2281</v>
      </c>
      <c r="F122" s="11422" t="s">
        <v>2466</v>
      </c>
      <c r="G122" s="11422" t="s">
        <v>2491</v>
      </c>
      <c r="H122" s="11422" t="s">
        <v>24</v>
      </c>
      <c r="I122" s="11422" t="s">
        <v>809</v>
      </c>
    </row>
    <row customHeight="1" ht="11.25">
      <c r="A123" s="11422" t="s">
        <v>2224</v>
      </c>
      <c r="B123" s="11422" t="s">
        <v>14</v>
      </c>
      <c r="C123" s="11422" t="s">
        <v>2283</v>
      </c>
      <c r="D123" s="11422" t="s">
        <v>2284</v>
      </c>
      <c r="E123" s="11422" t="s">
        <v>2285</v>
      </c>
      <c r="F123" s="11422" t="s">
        <v>51</v>
      </c>
      <c r="G123" s="11422" t="s">
        <v>2286</v>
      </c>
      <c r="H123" s="11422" t="s">
        <v>24</v>
      </c>
      <c r="I123" s="11422" t="s">
        <v>809</v>
      </c>
    </row>
    <row customHeight="1" ht="11.25">
      <c r="A124" s="11422" t="s">
        <v>2224</v>
      </c>
      <c r="B124" s="11422" t="s">
        <v>14</v>
      </c>
      <c r="C124" s="11422" t="s">
        <v>2492</v>
      </c>
      <c r="D124" s="11422" t="s">
        <v>2493</v>
      </c>
      <c r="E124" s="11422" t="s">
        <v>2494</v>
      </c>
      <c r="F124" s="11422" t="s">
        <v>2318</v>
      </c>
      <c r="G124" s="11422" t="s">
        <v>2495</v>
      </c>
      <c r="H124" s="11422" t="s">
        <v>24</v>
      </c>
      <c r="I124" s="11422" t="s">
        <v>809</v>
      </c>
    </row>
    <row customHeight="1" ht="11.25">
      <c r="A125" s="11422" t="s">
        <v>2224</v>
      </c>
      <c r="B125" s="11422" t="s">
        <v>14</v>
      </c>
      <c r="C125" s="11422" t="s">
        <v>2294</v>
      </c>
      <c r="D125" s="11422" t="s">
        <v>2295</v>
      </c>
      <c r="E125" s="11422" t="s">
        <v>2296</v>
      </c>
      <c r="F125" s="11422" t="s">
        <v>51</v>
      </c>
      <c r="G125" s="11422" t="s">
        <v>2297</v>
      </c>
      <c r="H125" s="11422" t="s">
        <v>24</v>
      </c>
      <c r="I125" s="11422" t="s">
        <v>809</v>
      </c>
    </row>
    <row customHeight="1" ht="11.25">
      <c r="A126" s="11422" t="s">
        <v>2224</v>
      </c>
      <c r="B126" s="11422" t="s">
        <v>14</v>
      </c>
      <c r="C126" s="11422" t="s">
        <v>24</v>
      </c>
      <c r="D126" s="11422" t="s">
        <v>2298</v>
      </c>
      <c r="E126" s="11422" t="s">
        <v>2299</v>
      </c>
      <c r="F126" s="11422" t="s">
        <v>51</v>
      </c>
      <c r="G126" s="11422" t="s">
        <v>24</v>
      </c>
      <c r="H126" s="11422" t="s">
        <v>24</v>
      </c>
      <c r="I126" s="11422" t="s">
        <v>809</v>
      </c>
    </row>
    <row customHeight="1" ht="11.25">
      <c r="A127" s="11422" t="s">
        <v>2224</v>
      </c>
      <c r="B127" s="11422" t="s">
        <v>14</v>
      </c>
      <c r="C127" s="11422" t="s">
        <v>2496</v>
      </c>
      <c r="D127" s="11422" t="s">
        <v>2497</v>
      </c>
      <c r="E127" s="11422" t="s">
        <v>2498</v>
      </c>
      <c r="F127" s="11422" t="s">
        <v>2303</v>
      </c>
      <c r="G127" s="11422" t="s">
        <v>2499</v>
      </c>
      <c r="H127" s="11422" t="s">
        <v>2500</v>
      </c>
      <c r="I127" s="11422" t="s">
        <v>809</v>
      </c>
    </row>
    <row customHeight="1" ht="11.25">
      <c r="A128" s="11422" t="s">
        <v>2224</v>
      </c>
      <c r="B128" s="11422" t="s">
        <v>14</v>
      </c>
      <c r="C128" s="11422" t="s">
        <v>2300</v>
      </c>
      <c r="D128" s="11422" t="s">
        <v>2301</v>
      </c>
      <c r="E128" s="11422" t="s">
        <v>2302</v>
      </c>
      <c r="F128" s="11422" t="s">
        <v>2303</v>
      </c>
      <c r="G128" s="11422" t="s">
        <v>24</v>
      </c>
      <c r="H128" s="11422" t="s">
        <v>24</v>
      </c>
      <c r="I128" s="11422" t="s">
        <v>809</v>
      </c>
    </row>
    <row customHeight="1" ht="11.25">
      <c r="A129" s="11422" t="s">
        <v>2224</v>
      </c>
      <c r="B129" s="11422" t="s">
        <v>14</v>
      </c>
      <c r="C129" s="11422" t="s">
        <v>2501</v>
      </c>
      <c r="D129" s="11422" t="s">
        <v>2502</v>
      </c>
      <c r="E129" s="11422" t="s">
        <v>2503</v>
      </c>
      <c r="F129" s="11422" t="s">
        <v>2236</v>
      </c>
      <c r="G129" s="11422" t="s">
        <v>24</v>
      </c>
      <c r="H129" s="11422" t="s">
        <v>24</v>
      </c>
      <c r="I129" s="11422" t="s">
        <v>809</v>
      </c>
    </row>
    <row customHeight="1" ht="11.25">
      <c r="A130" s="11422" t="s">
        <v>2224</v>
      </c>
      <c r="B130" s="11422" t="s">
        <v>14</v>
      </c>
      <c r="C130" s="11422" t="s">
        <v>2304</v>
      </c>
      <c r="D130" s="11422" t="s">
        <v>2305</v>
      </c>
      <c r="E130" s="11422" t="s">
        <v>2306</v>
      </c>
      <c r="F130" s="11422" t="s">
        <v>2236</v>
      </c>
      <c r="G130" s="11422" t="s">
        <v>24</v>
      </c>
      <c r="H130" s="11422" t="s">
        <v>24</v>
      </c>
      <c r="I130" s="11422" t="s">
        <v>809</v>
      </c>
    </row>
    <row customHeight="1" ht="11.25">
      <c r="A131" s="11422" t="s">
        <v>2224</v>
      </c>
      <c r="B131" s="11422" t="s">
        <v>14</v>
      </c>
      <c r="C131" s="11422" t="s">
        <v>2307</v>
      </c>
      <c r="D131" s="11422" t="s">
        <v>2308</v>
      </c>
      <c r="E131" s="11422" t="s">
        <v>2309</v>
      </c>
      <c r="F131" s="11422" t="s">
        <v>2303</v>
      </c>
      <c r="G131" s="11422" t="s">
        <v>2310</v>
      </c>
      <c r="H131" s="11422" t="s">
        <v>24</v>
      </c>
      <c r="I131" s="11422" t="s">
        <v>809</v>
      </c>
    </row>
    <row customHeight="1" ht="11.25">
      <c r="A132" s="11422" t="s">
        <v>2224</v>
      </c>
      <c r="B132" s="11422" t="s">
        <v>14</v>
      </c>
      <c r="C132" s="11422" t="s">
        <v>2311</v>
      </c>
      <c r="D132" s="11422" t="s">
        <v>2312</v>
      </c>
      <c r="E132" s="11422" t="s">
        <v>2313</v>
      </c>
      <c r="F132" s="11422" t="s">
        <v>2303</v>
      </c>
      <c r="G132" s="11422" t="s">
        <v>2314</v>
      </c>
      <c r="H132" s="11422" t="s">
        <v>24</v>
      </c>
      <c r="I132" s="11422" t="s">
        <v>809</v>
      </c>
    </row>
    <row customHeight="1" ht="11.25">
      <c r="A133" s="11422" t="s">
        <v>2224</v>
      </c>
      <c r="B133" s="11422" t="s">
        <v>14</v>
      </c>
      <c r="C133" s="11422" t="s">
        <v>2315</v>
      </c>
      <c r="D133" s="11422" t="s">
        <v>2316</v>
      </c>
      <c r="E133" s="11422" t="s">
        <v>2317</v>
      </c>
      <c r="F133" s="11422" t="s">
        <v>2318</v>
      </c>
      <c r="G133" s="11422" t="s">
        <v>2319</v>
      </c>
      <c r="H133" s="11422" t="s">
        <v>24</v>
      </c>
      <c r="I133" s="11422" t="s">
        <v>809</v>
      </c>
    </row>
    <row customHeight="1" ht="11.25">
      <c r="A134" s="11422" t="s">
        <v>2224</v>
      </c>
      <c r="B134" s="11422" t="s">
        <v>14</v>
      </c>
      <c r="C134" s="11422" t="s">
        <v>2320</v>
      </c>
      <c r="D134" s="11422" t="s">
        <v>2321</v>
      </c>
      <c r="E134" s="11422" t="s">
        <v>2322</v>
      </c>
      <c r="F134" s="11422" t="s">
        <v>2323</v>
      </c>
      <c r="G134" s="11422" t="s">
        <v>24</v>
      </c>
      <c r="H134" s="11422" t="s">
        <v>24</v>
      </c>
      <c r="I134" s="11422" t="s">
        <v>809</v>
      </c>
    </row>
    <row customHeight="1" ht="11.25">
      <c r="A135" s="11422" t="s">
        <v>2224</v>
      </c>
      <c r="B135" s="11422" t="s">
        <v>14</v>
      </c>
      <c r="C135" s="11422" t="s">
        <v>2504</v>
      </c>
      <c r="D135" s="11422" t="s">
        <v>2505</v>
      </c>
      <c r="E135" s="11422" t="s">
        <v>2506</v>
      </c>
      <c r="F135" s="11422" t="s">
        <v>2507</v>
      </c>
      <c r="G135" s="11422" t="s">
        <v>24</v>
      </c>
      <c r="H135" s="11422" t="s">
        <v>24</v>
      </c>
      <c r="I135" s="11422" t="s">
        <v>809</v>
      </c>
    </row>
    <row customHeight="1" ht="11.25">
      <c r="A136" s="11422" t="s">
        <v>2224</v>
      </c>
      <c r="B136" s="11422" t="s">
        <v>14</v>
      </c>
      <c r="C136" s="11422" t="s">
        <v>2331</v>
      </c>
      <c r="D136" s="11422" t="s">
        <v>2332</v>
      </c>
      <c r="E136" s="11422" t="s">
        <v>2333</v>
      </c>
      <c r="F136" s="11422" t="s">
        <v>2334</v>
      </c>
      <c r="G136" s="11422" t="s">
        <v>24</v>
      </c>
      <c r="H136" s="11422" t="s">
        <v>24</v>
      </c>
      <c r="I136" s="11422" t="s">
        <v>809</v>
      </c>
    </row>
    <row customHeight="1" ht="11.25">
      <c r="A137" s="11422" t="s">
        <v>2224</v>
      </c>
      <c r="B137" s="11422" t="s">
        <v>14</v>
      </c>
      <c r="C137" s="11422" t="s">
        <v>2335</v>
      </c>
      <c r="D137" s="11422" t="s">
        <v>2336</v>
      </c>
      <c r="E137" s="11422" t="s">
        <v>2337</v>
      </c>
      <c r="F137" s="11422" t="s">
        <v>2236</v>
      </c>
      <c r="G137" s="11422" t="s">
        <v>24</v>
      </c>
      <c r="H137" s="11422" t="s">
        <v>24</v>
      </c>
      <c r="I137" s="11422" t="s">
        <v>809</v>
      </c>
    </row>
    <row customHeight="1" ht="11.25">
      <c r="A138" s="11422" t="s">
        <v>2224</v>
      </c>
      <c r="B138" s="11422" t="s">
        <v>14</v>
      </c>
      <c r="C138" s="11422" t="s">
        <v>2508</v>
      </c>
      <c r="D138" s="11422" t="s">
        <v>2509</v>
      </c>
      <c r="E138" s="11422" t="s">
        <v>2510</v>
      </c>
      <c r="F138" s="11422" t="s">
        <v>2334</v>
      </c>
      <c r="G138" s="11422" t="s">
        <v>2511</v>
      </c>
      <c r="H138" s="11422" t="s">
        <v>24</v>
      </c>
      <c r="I138" s="11422" t="s">
        <v>809</v>
      </c>
    </row>
    <row customHeight="1" ht="11.25">
      <c r="A139" s="11422" t="s">
        <v>2224</v>
      </c>
      <c r="B139" s="11422" t="s">
        <v>14</v>
      </c>
      <c r="C139" s="11422" t="s">
        <v>2341</v>
      </c>
      <c r="D139" s="11422" t="s">
        <v>2342</v>
      </c>
      <c r="E139" s="11422" t="s">
        <v>2343</v>
      </c>
      <c r="F139" s="11422" t="s">
        <v>2236</v>
      </c>
      <c r="G139" s="11422" t="s">
        <v>24</v>
      </c>
      <c r="H139" s="11422" t="s">
        <v>24</v>
      </c>
      <c r="I139" s="11422" t="s">
        <v>809</v>
      </c>
    </row>
    <row customHeight="1" ht="11.25">
      <c r="A140" s="11422" t="s">
        <v>2224</v>
      </c>
      <c r="B140" s="11422" t="s">
        <v>14</v>
      </c>
      <c r="C140" s="11422" t="s">
        <v>2347</v>
      </c>
      <c r="D140" s="11422" t="s">
        <v>2348</v>
      </c>
      <c r="E140" s="11422" t="s">
        <v>2349</v>
      </c>
      <c r="F140" s="11422" t="s">
        <v>2318</v>
      </c>
      <c r="G140" s="11422" t="s">
        <v>24</v>
      </c>
      <c r="H140" s="11422" t="s">
        <v>24</v>
      </c>
      <c r="I140" s="11422" t="s">
        <v>809</v>
      </c>
    </row>
    <row customHeight="1" ht="11.25">
      <c r="A141" s="11422" t="s">
        <v>2224</v>
      </c>
      <c r="B141" s="11422" t="s">
        <v>14</v>
      </c>
      <c r="C141" s="11422" t="s">
        <v>2350</v>
      </c>
      <c r="D141" s="11422" t="s">
        <v>2351</v>
      </c>
      <c r="E141" s="11422" t="s">
        <v>2352</v>
      </c>
      <c r="F141" s="11422" t="s">
        <v>2318</v>
      </c>
      <c r="G141" s="11422" t="s">
        <v>2353</v>
      </c>
      <c r="H141" s="11422" t="s">
        <v>24</v>
      </c>
      <c r="I141" s="11422" t="s">
        <v>809</v>
      </c>
    </row>
    <row customHeight="1" ht="11.25">
      <c r="A142" s="11422" t="s">
        <v>2224</v>
      </c>
      <c r="B142" s="11422" t="s">
        <v>14</v>
      </c>
      <c r="C142" s="11422" t="s">
        <v>2512</v>
      </c>
      <c r="D142" s="11422" t="s">
        <v>2513</v>
      </c>
      <c r="E142" s="11422" t="s">
        <v>2514</v>
      </c>
      <c r="F142" s="11422" t="s">
        <v>2385</v>
      </c>
      <c r="G142" s="11422" t="s">
        <v>2515</v>
      </c>
      <c r="H142" s="11422" t="s">
        <v>24</v>
      </c>
      <c r="I142" s="11422" t="s">
        <v>809</v>
      </c>
    </row>
    <row customHeight="1" ht="11.25">
      <c r="A143" s="11422" t="s">
        <v>2224</v>
      </c>
      <c r="B143" s="11422" t="s">
        <v>14</v>
      </c>
      <c r="C143" s="11422" t="s">
        <v>2516</v>
      </c>
      <c r="D143" s="11422" t="s">
        <v>2517</v>
      </c>
      <c r="E143" s="11422" t="s">
        <v>2518</v>
      </c>
      <c r="F143" s="11422" t="s">
        <v>2303</v>
      </c>
      <c r="G143" s="11422" t="s">
        <v>24</v>
      </c>
      <c r="H143" s="11422" t="s">
        <v>24</v>
      </c>
      <c r="I143" s="11422" t="s">
        <v>809</v>
      </c>
    </row>
    <row customHeight="1" ht="11.25">
      <c r="A144" s="11422" t="s">
        <v>2224</v>
      </c>
      <c r="B144" s="11422" t="s">
        <v>14</v>
      </c>
      <c r="C144" s="11422" t="s">
        <v>2361</v>
      </c>
      <c r="D144" s="11422" t="s">
        <v>2362</v>
      </c>
      <c r="E144" s="11422" t="s">
        <v>2363</v>
      </c>
      <c r="F144" s="11422" t="s">
        <v>2236</v>
      </c>
      <c r="G144" s="11422" t="s">
        <v>24</v>
      </c>
      <c r="H144" s="11422" t="s">
        <v>24</v>
      </c>
      <c r="I144" s="11422" t="s">
        <v>809</v>
      </c>
    </row>
    <row customHeight="1" ht="11.25">
      <c r="A145" s="11422" t="s">
        <v>2224</v>
      </c>
      <c r="B145" s="11422" t="s">
        <v>14</v>
      </c>
      <c r="C145" s="11422" t="s">
        <v>2367</v>
      </c>
      <c r="D145" s="11422" t="s">
        <v>2368</v>
      </c>
      <c r="E145" s="11422" t="s">
        <v>2369</v>
      </c>
      <c r="F145" s="11422" t="s">
        <v>2370</v>
      </c>
      <c r="G145" s="11422" t="s">
        <v>24</v>
      </c>
      <c r="H145" s="11422" t="s">
        <v>24</v>
      </c>
      <c r="I145" s="11422" t="s">
        <v>809</v>
      </c>
    </row>
    <row customHeight="1" ht="11.25">
      <c r="A146" s="11422" t="s">
        <v>2224</v>
      </c>
      <c r="B146" s="11422" t="s">
        <v>14</v>
      </c>
      <c r="C146" s="11422" t="s">
        <v>2375</v>
      </c>
      <c r="D146" s="11422" t="s">
        <v>2376</v>
      </c>
      <c r="E146" s="11422" t="s">
        <v>2377</v>
      </c>
      <c r="F146" s="11422" t="s">
        <v>2318</v>
      </c>
      <c r="G146" s="11422" t="s">
        <v>2378</v>
      </c>
      <c r="H146" s="11422" t="s">
        <v>24</v>
      </c>
      <c r="I146" s="11422" t="s">
        <v>809</v>
      </c>
    </row>
    <row customHeight="1" ht="11.25">
      <c r="A147" s="11422" t="s">
        <v>2224</v>
      </c>
      <c r="B147" s="11422" t="s">
        <v>14</v>
      </c>
      <c r="C147" s="11422" t="s">
        <v>2379</v>
      </c>
      <c r="D147" s="11422" t="s">
        <v>2380</v>
      </c>
      <c r="E147" s="11422" t="s">
        <v>2381</v>
      </c>
      <c r="F147" s="11422" t="s">
        <v>2236</v>
      </c>
      <c r="G147" s="11422" t="s">
        <v>24</v>
      </c>
      <c r="H147" s="11422" t="s">
        <v>24</v>
      </c>
      <c r="I147" s="11422" t="s">
        <v>809</v>
      </c>
    </row>
    <row customHeight="1" ht="11.25">
      <c r="A148" s="11422" t="s">
        <v>2224</v>
      </c>
      <c r="B148" s="11422" t="s">
        <v>14</v>
      </c>
      <c r="C148" s="11422" t="s">
        <v>2519</v>
      </c>
      <c r="D148" s="11422" t="s">
        <v>2520</v>
      </c>
      <c r="E148" s="11422" t="s">
        <v>2521</v>
      </c>
      <c r="F148" s="11422" t="s">
        <v>2507</v>
      </c>
      <c r="G148" s="11422" t="s">
        <v>24</v>
      </c>
      <c r="H148" s="11422" t="s">
        <v>2522</v>
      </c>
      <c r="I148" s="11422" t="s">
        <v>809</v>
      </c>
    </row>
    <row customHeight="1" ht="11.25">
      <c r="A149" s="11422" t="s">
        <v>2224</v>
      </c>
      <c r="B149" s="11422" t="s">
        <v>14</v>
      </c>
      <c r="C149" s="11422" t="s">
        <v>2523</v>
      </c>
      <c r="D149" s="11422" t="s">
        <v>2524</v>
      </c>
      <c r="E149" s="11422" t="s">
        <v>2525</v>
      </c>
      <c r="F149" s="11422" t="s">
        <v>51</v>
      </c>
      <c r="G149" s="11422" t="s">
        <v>2526</v>
      </c>
      <c r="H149" s="11422" t="s">
        <v>24</v>
      </c>
      <c r="I149" s="11422" t="s">
        <v>809</v>
      </c>
    </row>
    <row customHeight="1" ht="11.25">
      <c r="A150" s="11422" t="s">
        <v>2224</v>
      </c>
      <c r="B150" s="11422" t="s">
        <v>14</v>
      </c>
      <c r="C150" s="11422" t="s">
        <v>2387</v>
      </c>
      <c r="D150" s="11422" t="s">
        <v>2388</v>
      </c>
      <c r="E150" s="11422" t="s">
        <v>2389</v>
      </c>
      <c r="F150" s="11422" t="s">
        <v>2390</v>
      </c>
      <c r="G150" s="11422" t="s">
        <v>2391</v>
      </c>
      <c r="H150" s="11422" t="s">
        <v>24</v>
      </c>
      <c r="I150" s="11422" t="s">
        <v>809</v>
      </c>
    </row>
    <row customHeight="1" ht="11.25">
      <c r="A151" s="11422" t="s">
        <v>2224</v>
      </c>
      <c r="B151" s="11422" t="s">
        <v>14</v>
      </c>
      <c r="C151" s="11422" t="s">
        <v>2527</v>
      </c>
      <c r="D151" s="11422" t="s">
        <v>2528</v>
      </c>
      <c r="E151" s="11422" t="s">
        <v>2529</v>
      </c>
      <c r="F151" s="11422" t="s">
        <v>2530</v>
      </c>
      <c r="G151" s="11422" t="s">
        <v>2531</v>
      </c>
      <c r="H151" s="11422" t="s">
        <v>24</v>
      </c>
      <c r="I151" s="11422" t="s">
        <v>809</v>
      </c>
    </row>
    <row customHeight="1" ht="11.25">
      <c r="A152" s="11422" t="s">
        <v>2224</v>
      </c>
      <c r="B152" s="11422" t="s">
        <v>14</v>
      </c>
      <c r="C152" s="11422" t="s">
        <v>2392</v>
      </c>
      <c r="D152" s="11422" t="s">
        <v>2393</v>
      </c>
      <c r="E152" s="11422" t="s">
        <v>2394</v>
      </c>
      <c r="F152" s="11422" t="s">
        <v>2395</v>
      </c>
      <c r="G152" s="11422" t="s">
        <v>24</v>
      </c>
      <c r="H152" s="11422" t="s">
        <v>24</v>
      </c>
      <c r="I152" s="11422" t="s">
        <v>809</v>
      </c>
    </row>
    <row customHeight="1" ht="11.25">
      <c r="A153" s="11422" t="s">
        <v>2224</v>
      </c>
      <c r="B153" s="11422" t="s">
        <v>14</v>
      </c>
      <c r="C153" s="11422" t="s">
        <v>2532</v>
      </c>
      <c r="D153" s="11422" t="s">
        <v>2533</v>
      </c>
      <c r="E153" s="11422" t="s">
        <v>2534</v>
      </c>
      <c r="F153" s="11422" t="s">
        <v>2535</v>
      </c>
      <c r="G153" s="11422" t="s">
        <v>24</v>
      </c>
      <c r="H153" s="11422" t="s">
        <v>24</v>
      </c>
      <c r="I153" s="11422" t="s">
        <v>809</v>
      </c>
    </row>
    <row customHeight="1" ht="11.25">
      <c r="A154" s="11422" t="s">
        <v>2224</v>
      </c>
      <c r="B154" s="11422" t="s">
        <v>14</v>
      </c>
      <c r="C154" s="11422" t="s">
        <v>2536</v>
      </c>
      <c r="D154" s="11422" t="s">
        <v>2537</v>
      </c>
      <c r="E154" s="11422" t="s">
        <v>2538</v>
      </c>
      <c r="F154" s="11422" t="s">
        <v>2535</v>
      </c>
      <c r="G154" s="11422" t="s">
        <v>24</v>
      </c>
      <c r="H154" s="11422" t="s">
        <v>24</v>
      </c>
      <c r="I154" s="11422" t="s">
        <v>809</v>
      </c>
    </row>
    <row customHeight="1" ht="11.25">
      <c r="A155" s="11422" t="s">
        <v>2224</v>
      </c>
      <c r="B155" s="11422" t="s">
        <v>14</v>
      </c>
      <c r="C155" s="11422" t="s">
        <v>2539</v>
      </c>
      <c r="D155" s="11422" t="s">
        <v>2540</v>
      </c>
      <c r="E155" s="11422" t="s">
        <v>2541</v>
      </c>
      <c r="F155" s="11422" t="s">
        <v>2530</v>
      </c>
      <c r="G155" s="11422" t="s">
        <v>2542</v>
      </c>
      <c r="H155" s="11422" t="s">
        <v>24</v>
      </c>
      <c r="I155" s="11422" t="s">
        <v>809</v>
      </c>
    </row>
    <row customHeight="1" ht="11.25">
      <c r="A156" s="11422" t="s">
        <v>2224</v>
      </c>
      <c r="B156" s="11422" t="s">
        <v>14</v>
      </c>
      <c r="C156" s="11422" t="s">
        <v>2402</v>
      </c>
      <c r="D156" s="11422" t="s">
        <v>2403</v>
      </c>
      <c r="E156" s="11422" t="s">
        <v>2404</v>
      </c>
      <c r="F156" s="11422" t="s">
        <v>2405</v>
      </c>
      <c r="G156" s="11422" t="s">
        <v>2406</v>
      </c>
      <c r="H156" s="11422" t="s">
        <v>24</v>
      </c>
      <c r="I156" s="11422" t="s">
        <v>809</v>
      </c>
    </row>
    <row customHeight="1" ht="11.25">
      <c r="A157" s="11422" t="s">
        <v>2224</v>
      </c>
      <c r="B157" s="11422" t="s">
        <v>14</v>
      </c>
      <c r="C157" s="11422" t="s">
        <v>2543</v>
      </c>
      <c r="D157" s="11422" t="s">
        <v>2544</v>
      </c>
      <c r="E157" s="11422" t="s">
        <v>2545</v>
      </c>
      <c r="F157" s="11422" t="s">
        <v>2385</v>
      </c>
      <c r="G157" s="11422" t="s">
        <v>24</v>
      </c>
      <c r="H157" s="11422" t="s">
        <v>24</v>
      </c>
      <c r="I157" s="11422" t="s">
        <v>809</v>
      </c>
    </row>
    <row customHeight="1" ht="11.25">
      <c r="A158" s="11422" t="s">
        <v>2224</v>
      </c>
      <c r="B158" s="11422" t="s">
        <v>14</v>
      </c>
      <c r="C158" s="11422" t="s">
        <v>2546</v>
      </c>
      <c r="D158" s="11422" t="s">
        <v>2547</v>
      </c>
      <c r="E158" s="11422" t="s">
        <v>2548</v>
      </c>
      <c r="F158" s="11422" t="s">
        <v>2432</v>
      </c>
      <c r="G158" s="11422" t="s">
        <v>2549</v>
      </c>
      <c r="H158" s="11422" t="s">
        <v>24</v>
      </c>
      <c r="I158" s="11422" t="s">
        <v>809</v>
      </c>
    </row>
    <row customHeight="1" ht="11.25">
      <c r="A159" s="11422" t="s">
        <v>2224</v>
      </c>
      <c r="B159" s="11422" t="s">
        <v>14</v>
      </c>
      <c r="C159" s="11422" t="s">
        <v>2417</v>
      </c>
      <c r="D159" s="11422" t="s">
        <v>2418</v>
      </c>
      <c r="E159" s="11422" t="s">
        <v>2419</v>
      </c>
      <c r="F159" s="11422" t="s">
        <v>2334</v>
      </c>
      <c r="G159" s="11422" t="s">
        <v>2420</v>
      </c>
      <c r="H159" s="11422" t="s">
        <v>24</v>
      </c>
      <c r="I159" s="11422" t="s">
        <v>809</v>
      </c>
    </row>
    <row customHeight="1" ht="11.25">
      <c r="A160" s="11422" t="s">
        <v>2224</v>
      </c>
      <c r="B160" s="11422" t="s">
        <v>14</v>
      </c>
      <c r="C160" s="11422" t="s">
        <v>2550</v>
      </c>
      <c r="D160" s="11422" t="s">
        <v>2551</v>
      </c>
      <c r="E160" s="11422" t="s">
        <v>2552</v>
      </c>
      <c r="F160" s="11422" t="s">
        <v>2236</v>
      </c>
      <c r="G160" s="11422" t="s">
        <v>24</v>
      </c>
      <c r="H160" s="11422" t="s">
        <v>24</v>
      </c>
      <c r="I160" s="11422" t="s">
        <v>809</v>
      </c>
    </row>
    <row customHeight="1" ht="11.25">
      <c r="A161" s="11422" t="s">
        <v>2224</v>
      </c>
      <c r="B161" s="11422" t="s">
        <v>14</v>
      </c>
      <c r="C161" s="11422" t="s">
        <v>2439</v>
      </c>
      <c r="D161" s="11422" t="s">
        <v>2440</v>
      </c>
      <c r="E161" s="11422" t="s">
        <v>2441</v>
      </c>
      <c r="F161" s="11422" t="s">
        <v>2442</v>
      </c>
      <c r="G161" s="11422" t="s">
        <v>2443</v>
      </c>
      <c r="H161" s="11422" t="s">
        <v>24</v>
      </c>
      <c r="I161" s="11422" t="s">
        <v>809</v>
      </c>
    </row>
    <row customHeight="1" ht="11.25">
      <c r="A162" s="11422" t="s">
        <v>2224</v>
      </c>
      <c r="B162" s="11422" t="s">
        <v>14</v>
      </c>
      <c r="C162" s="11422" t="s">
        <v>2444</v>
      </c>
      <c r="D162" s="11422" t="s">
        <v>2445</v>
      </c>
      <c r="E162" s="11422" t="s">
        <v>2389</v>
      </c>
      <c r="F162" s="11422" t="s">
        <v>2446</v>
      </c>
      <c r="G162" s="11422" t="s">
        <v>24</v>
      </c>
      <c r="H162" s="11422" t="s">
        <v>24</v>
      </c>
      <c r="I162" s="11422" t="s">
        <v>809</v>
      </c>
    </row>
    <row customHeight="1" ht="11.25">
      <c r="A163" s="11422" t="s">
        <v>2224</v>
      </c>
      <c r="B163" s="11422" t="s">
        <v>14</v>
      </c>
      <c r="C163" s="11422" t="s">
        <v>2450</v>
      </c>
      <c r="D163" s="11422" t="s">
        <v>2451</v>
      </c>
      <c r="E163" s="11422" t="s">
        <v>2441</v>
      </c>
      <c r="F163" s="11422" t="s">
        <v>2452</v>
      </c>
      <c r="G163" s="11422" t="s">
        <v>2453</v>
      </c>
      <c r="H163" s="11422" t="s">
        <v>24</v>
      </c>
      <c r="I163" s="11422" t="s">
        <v>809</v>
      </c>
    </row>
    <row customHeight="1" ht="11.25">
      <c r="A164" s="11422" t="s">
        <v>2224</v>
      </c>
      <c r="B164" s="11422" t="s">
        <v>14</v>
      </c>
      <c r="C164" s="11422" t="s">
        <v>2454</v>
      </c>
      <c r="D164" s="11422" t="s">
        <v>2455</v>
      </c>
      <c r="E164" s="11422" t="s">
        <v>2456</v>
      </c>
      <c r="F164" s="11422" t="s">
        <v>2236</v>
      </c>
      <c r="G164" s="11422" t="s">
        <v>2457</v>
      </c>
      <c r="H164" s="11422" t="s">
        <v>2458</v>
      </c>
      <c r="I164" s="11422" t="s">
        <v>809</v>
      </c>
    </row>
    <row customHeight="1" ht="11.25">
      <c r="A165" s="11422" t="s">
        <v>2224</v>
      </c>
      <c r="B165" s="11422" t="s">
        <v>14</v>
      </c>
      <c r="C165" s="11422" t="s">
        <v>2459</v>
      </c>
      <c r="D165" s="11422" t="s">
        <v>2460</v>
      </c>
      <c r="E165" s="11422" t="s">
        <v>2461</v>
      </c>
      <c r="F165" s="11422" t="s">
        <v>2462</v>
      </c>
      <c r="G165" s="11422" t="s">
        <v>24</v>
      </c>
      <c r="H165" s="11422" t="s">
        <v>24</v>
      </c>
      <c r="I165" s="11422" t="s">
        <v>809</v>
      </c>
    </row>
    <row customHeight="1" ht="11.25">
      <c r="A166" s="11422" t="s">
        <v>2224</v>
      </c>
      <c r="B166" s="11422" t="s">
        <v>14</v>
      </c>
      <c r="C166" s="11422" t="s">
        <v>2468</v>
      </c>
      <c r="D166" s="11422" t="s">
        <v>2469</v>
      </c>
      <c r="E166" s="11422" t="s">
        <v>2470</v>
      </c>
      <c r="F166" s="11422" t="s">
        <v>2466</v>
      </c>
      <c r="G166" s="11422" t="s">
        <v>24</v>
      </c>
      <c r="H166" s="11422" t="s">
        <v>24</v>
      </c>
      <c r="I166" s="11422" t="s">
        <v>809</v>
      </c>
    </row>
    <row customHeight="1" ht="11.25">
      <c r="A167" s="11422" t="s">
        <v>2224</v>
      </c>
      <c r="B167" s="11422" t="s">
        <v>14</v>
      </c>
      <c r="C167" s="11422" t="s">
        <v>2474</v>
      </c>
      <c r="D167" s="11422" t="s">
        <v>2475</v>
      </c>
      <c r="E167" s="11422" t="s">
        <v>2476</v>
      </c>
      <c r="F167" s="11422" t="s">
        <v>2395</v>
      </c>
      <c r="G167" s="11422" t="s">
        <v>24</v>
      </c>
      <c r="H167" s="11422" t="s">
        <v>24</v>
      </c>
      <c r="I167" s="11422" t="s">
        <v>809</v>
      </c>
    </row>
    <row customHeight="1" ht="11.25">
      <c r="A168" s="11422" t="s">
        <v>2224</v>
      </c>
      <c r="B168" s="11422" t="s">
        <v>14</v>
      </c>
      <c r="C168" s="11422" t="s">
        <v>2553</v>
      </c>
      <c r="D168" s="11422" t="s">
        <v>2554</v>
      </c>
      <c r="E168" s="11422" t="s">
        <v>2555</v>
      </c>
      <c r="F168" s="11422" t="s">
        <v>2462</v>
      </c>
      <c r="G168" s="11422" t="s">
        <v>2556</v>
      </c>
      <c r="H168" s="11422" t="s">
        <v>24</v>
      </c>
      <c r="I168" s="11422" t="s">
        <v>864</v>
      </c>
    </row>
    <row customHeight="1" ht="11.25">
      <c r="A169" s="11422" t="s">
        <v>2224</v>
      </c>
      <c r="B169" s="11422" t="s">
        <v>14</v>
      </c>
      <c r="C169" s="11422" t="s">
        <v>2230</v>
      </c>
      <c r="D169" s="11422" t="s">
        <v>2226</v>
      </c>
      <c r="E169" s="11422" t="s">
        <v>2227</v>
      </c>
      <c r="F169" s="11422" t="s">
        <v>2231</v>
      </c>
      <c r="G169" s="11422" t="s">
        <v>2232</v>
      </c>
      <c r="H169" s="11422" t="s">
        <v>24</v>
      </c>
      <c r="I169" s="11422" t="s">
        <v>864</v>
      </c>
    </row>
    <row customHeight="1" ht="11.25">
      <c r="A170" s="11422" t="s">
        <v>2224</v>
      </c>
      <c r="B170" s="11422" t="s">
        <v>14</v>
      </c>
      <c r="C170" s="11422" t="s">
        <v>2477</v>
      </c>
      <c r="D170" s="11422" t="s">
        <v>2478</v>
      </c>
      <c r="E170" s="11422" t="s">
        <v>2479</v>
      </c>
      <c r="F170" s="11422" t="s">
        <v>2290</v>
      </c>
      <c r="G170" s="11422" t="s">
        <v>2480</v>
      </c>
      <c r="H170" s="11422" t="s">
        <v>24</v>
      </c>
      <c r="I170" s="11422" t="s">
        <v>864</v>
      </c>
    </row>
    <row customHeight="1" ht="11.25">
      <c r="A171" s="11422" t="s">
        <v>2224</v>
      </c>
      <c r="B171" s="11422" t="s">
        <v>14</v>
      </c>
      <c r="C171" s="11422" t="s">
        <v>2233</v>
      </c>
      <c r="D171" s="11422" t="s">
        <v>2234</v>
      </c>
      <c r="E171" s="11422" t="s">
        <v>2235</v>
      </c>
      <c r="F171" s="11422" t="s">
        <v>2236</v>
      </c>
      <c r="G171" s="11422" t="s">
        <v>24</v>
      </c>
      <c r="H171" s="11422" t="s">
        <v>24</v>
      </c>
      <c r="I171" s="11422" t="s">
        <v>864</v>
      </c>
    </row>
    <row customHeight="1" ht="11.25">
      <c r="A172" s="11422" t="s">
        <v>2224</v>
      </c>
      <c r="B172" s="11422" t="s">
        <v>14</v>
      </c>
      <c r="C172" s="11422" t="s">
        <v>2481</v>
      </c>
      <c r="D172" s="11422" t="s">
        <v>2482</v>
      </c>
      <c r="E172" s="11422" t="s">
        <v>2483</v>
      </c>
      <c r="F172" s="11422" t="s">
        <v>2236</v>
      </c>
      <c r="G172" s="11422" t="s">
        <v>2484</v>
      </c>
      <c r="H172" s="11422" t="s">
        <v>24</v>
      </c>
      <c r="I172" s="11422" t="s">
        <v>864</v>
      </c>
    </row>
    <row customHeight="1" ht="11.25">
      <c r="A173" s="11422" t="s">
        <v>2224</v>
      </c>
      <c r="B173" s="11422" t="s">
        <v>14</v>
      </c>
      <c r="C173" s="11422" t="s">
        <v>2245</v>
      </c>
      <c r="D173" s="11422" t="s">
        <v>2246</v>
      </c>
      <c r="E173" s="11422" t="s">
        <v>2247</v>
      </c>
      <c r="F173" s="11422" t="s">
        <v>2244</v>
      </c>
      <c r="G173" s="11422" t="s">
        <v>2248</v>
      </c>
      <c r="H173" s="11422" t="s">
        <v>24</v>
      </c>
      <c r="I173" s="11422" t="s">
        <v>864</v>
      </c>
    </row>
    <row customHeight="1" ht="11.25">
      <c r="A174" s="11422" t="s">
        <v>2224</v>
      </c>
      <c r="B174" s="11422" t="s">
        <v>14</v>
      </c>
      <c r="C174" s="11422" t="s">
        <v>2485</v>
      </c>
      <c r="D174" s="11422" t="s">
        <v>2486</v>
      </c>
      <c r="E174" s="11422" t="s">
        <v>2487</v>
      </c>
      <c r="F174" s="11422" t="s">
        <v>2252</v>
      </c>
      <c r="G174" s="11422" t="s">
        <v>2488</v>
      </c>
      <c r="H174" s="11422" t="s">
        <v>24</v>
      </c>
      <c r="I174" s="11422" t="s">
        <v>864</v>
      </c>
    </row>
    <row customHeight="1" ht="11.25">
      <c r="A175" s="11422" t="s">
        <v>2224</v>
      </c>
      <c r="B175" s="11422" t="s">
        <v>14</v>
      </c>
      <c r="C175" s="11422" t="s">
        <v>2256</v>
      </c>
      <c r="D175" s="11422" t="s">
        <v>2257</v>
      </c>
      <c r="E175" s="11422" t="s">
        <v>2258</v>
      </c>
      <c r="F175" s="11422" t="s">
        <v>51</v>
      </c>
      <c r="G175" s="11422" t="s">
        <v>2259</v>
      </c>
      <c r="H175" s="11422" t="s">
        <v>24</v>
      </c>
      <c r="I175" s="11422" t="s">
        <v>864</v>
      </c>
    </row>
    <row customHeight="1" ht="11.25">
      <c r="A176" s="11422" t="s">
        <v>2224</v>
      </c>
      <c r="B176" s="11422" t="s">
        <v>14</v>
      </c>
      <c r="C176" s="11422" t="s">
        <v>2265</v>
      </c>
      <c r="D176" s="11422" t="s">
        <v>2266</v>
      </c>
      <c r="E176" s="11422" t="s">
        <v>2267</v>
      </c>
      <c r="F176" s="11422" t="s">
        <v>2268</v>
      </c>
      <c r="G176" s="11422" t="s">
        <v>2269</v>
      </c>
      <c r="H176" s="11422" t="s">
        <v>24</v>
      </c>
      <c r="I176" s="11422" t="s">
        <v>864</v>
      </c>
    </row>
    <row customHeight="1" ht="11.25">
      <c r="A177" s="11422" t="s">
        <v>2224</v>
      </c>
      <c r="B177" s="11422" t="s">
        <v>14</v>
      </c>
      <c r="C177" s="11422" t="s">
        <v>2489</v>
      </c>
      <c r="D177" s="11422" t="s">
        <v>2490</v>
      </c>
      <c r="E177" s="11422" t="s">
        <v>2281</v>
      </c>
      <c r="F177" s="11422" t="s">
        <v>2466</v>
      </c>
      <c r="G177" s="11422" t="s">
        <v>2491</v>
      </c>
      <c r="H177" s="11422" t="s">
        <v>24</v>
      </c>
      <c r="I177" s="11422" t="s">
        <v>864</v>
      </c>
    </row>
    <row customHeight="1" ht="11.25">
      <c r="A178" s="11422" t="s">
        <v>2224</v>
      </c>
      <c r="B178" s="11422" t="s">
        <v>14</v>
      </c>
      <c r="C178" s="11422" t="s">
        <v>2283</v>
      </c>
      <c r="D178" s="11422" t="s">
        <v>2284</v>
      </c>
      <c r="E178" s="11422" t="s">
        <v>2285</v>
      </c>
      <c r="F178" s="11422" t="s">
        <v>51</v>
      </c>
      <c r="G178" s="11422" t="s">
        <v>2286</v>
      </c>
      <c r="H178" s="11422" t="s">
        <v>24</v>
      </c>
      <c r="I178" s="11422" t="s">
        <v>864</v>
      </c>
    </row>
    <row customHeight="1" ht="11.25">
      <c r="A179" s="11422" t="s">
        <v>2224</v>
      </c>
      <c r="B179" s="11422" t="s">
        <v>14</v>
      </c>
      <c r="C179" s="11422" t="s">
        <v>2492</v>
      </c>
      <c r="D179" s="11422" t="s">
        <v>2493</v>
      </c>
      <c r="E179" s="11422" t="s">
        <v>2494</v>
      </c>
      <c r="F179" s="11422" t="s">
        <v>2318</v>
      </c>
      <c r="G179" s="11422" t="s">
        <v>2495</v>
      </c>
      <c r="H179" s="11422" t="s">
        <v>24</v>
      </c>
      <c r="I179" s="11422" t="s">
        <v>864</v>
      </c>
    </row>
    <row customHeight="1" ht="11.25">
      <c r="A180" s="11422" t="s">
        <v>2224</v>
      </c>
      <c r="B180" s="11422" t="s">
        <v>14</v>
      </c>
      <c r="C180" s="11422" t="s">
        <v>2294</v>
      </c>
      <c r="D180" s="11422" t="s">
        <v>2295</v>
      </c>
      <c r="E180" s="11422" t="s">
        <v>2296</v>
      </c>
      <c r="F180" s="11422" t="s">
        <v>51</v>
      </c>
      <c r="G180" s="11422" t="s">
        <v>2297</v>
      </c>
      <c r="H180" s="11422" t="s">
        <v>24</v>
      </c>
      <c r="I180" s="11422" t="s">
        <v>864</v>
      </c>
    </row>
    <row customHeight="1" ht="11.25">
      <c r="A181" s="11422" t="s">
        <v>2224</v>
      </c>
      <c r="B181" s="11422" t="s">
        <v>14</v>
      </c>
      <c r="C181" s="11422" t="s">
        <v>24</v>
      </c>
      <c r="D181" s="11422" t="s">
        <v>2298</v>
      </c>
      <c r="E181" s="11422" t="s">
        <v>2299</v>
      </c>
      <c r="F181" s="11422" t="s">
        <v>51</v>
      </c>
      <c r="G181" s="11422" t="s">
        <v>24</v>
      </c>
      <c r="H181" s="11422" t="s">
        <v>24</v>
      </c>
      <c r="I181" s="11422" t="s">
        <v>864</v>
      </c>
    </row>
    <row customHeight="1" ht="11.25">
      <c r="A182" s="11422" t="s">
        <v>2224</v>
      </c>
      <c r="B182" s="11422" t="s">
        <v>14</v>
      </c>
      <c r="C182" s="11422" t="s">
        <v>2496</v>
      </c>
      <c r="D182" s="11422" t="s">
        <v>2497</v>
      </c>
      <c r="E182" s="11422" t="s">
        <v>2498</v>
      </c>
      <c r="F182" s="11422" t="s">
        <v>2303</v>
      </c>
      <c r="G182" s="11422" t="s">
        <v>2499</v>
      </c>
      <c r="H182" s="11422" t="s">
        <v>2500</v>
      </c>
      <c r="I182" s="11422" t="s">
        <v>864</v>
      </c>
    </row>
    <row customHeight="1" ht="11.25">
      <c r="A183" s="11422" t="s">
        <v>2224</v>
      </c>
      <c r="B183" s="11422" t="s">
        <v>14</v>
      </c>
      <c r="C183" s="11422" t="s">
        <v>2300</v>
      </c>
      <c r="D183" s="11422" t="s">
        <v>2301</v>
      </c>
      <c r="E183" s="11422" t="s">
        <v>2302</v>
      </c>
      <c r="F183" s="11422" t="s">
        <v>2303</v>
      </c>
      <c r="G183" s="11422" t="s">
        <v>24</v>
      </c>
      <c r="H183" s="11422" t="s">
        <v>24</v>
      </c>
      <c r="I183" s="11422" t="s">
        <v>864</v>
      </c>
    </row>
    <row customHeight="1" ht="11.25">
      <c r="A184" s="11422" t="s">
        <v>2224</v>
      </c>
      <c r="B184" s="11422" t="s">
        <v>14</v>
      </c>
      <c r="C184" s="11422" t="s">
        <v>2304</v>
      </c>
      <c r="D184" s="11422" t="s">
        <v>2305</v>
      </c>
      <c r="E184" s="11422" t="s">
        <v>2306</v>
      </c>
      <c r="F184" s="11422" t="s">
        <v>2236</v>
      </c>
      <c r="G184" s="11422" t="s">
        <v>24</v>
      </c>
      <c r="H184" s="11422" t="s">
        <v>24</v>
      </c>
      <c r="I184" s="11422" t="s">
        <v>864</v>
      </c>
    </row>
    <row customHeight="1" ht="11.25">
      <c r="A185" s="11422" t="s">
        <v>2224</v>
      </c>
      <c r="B185" s="11422" t="s">
        <v>14</v>
      </c>
      <c r="C185" s="11422" t="s">
        <v>2307</v>
      </c>
      <c r="D185" s="11422" t="s">
        <v>2308</v>
      </c>
      <c r="E185" s="11422" t="s">
        <v>2309</v>
      </c>
      <c r="F185" s="11422" t="s">
        <v>2303</v>
      </c>
      <c r="G185" s="11422" t="s">
        <v>2310</v>
      </c>
      <c r="H185" s="11422" t="s">
        <v>24</v>
      </c>
      <c r="I185" s="11422" t="s">
        <v>864</v>
      </c>
    </row>
    <row customHeight="1" ht="11.25">
      <c r="A186" s="11422" t="s">
        <v>2224</v>
      </c>
      <c r="B186" s="11422" t="s">
        <v>14</v>
      </c>
      <c r="C186" s="11422" t="s">
        <v>2311</v>
      </c>
      <c r="D186" s="11422" t="s">
        <v>2312</v>
      </c>
      <c r="E186" s="11422" t="s">
        <v>2313</v>
      </c>
      <c r="F186" s="11422" t="s">
        <v>2303</v>
      </c>
      <c r="G186" s="11422" t="s">
        <v>2314</v>
      </c>
      <c r="H186" s="11422" t="s">
        <v>24</v>
      </c>
      <c r="I186" s="11422" t="s">
        <v>864</v>
      </c>
    </row>
    <row customHeight="1" ht="11.25">
      <c r="A187" s="11422" t="s">
        <v>2224</v>
      </c>
      <c r="B187" s="11422" t="s">
        <v>14</v>
      </c>
      <c r="C187" s="11422" t="s">
        <v>2315</v>
      </c>
      <c r="D187" s="11422" t="s">
        <v>2316</v>
      </c>
      <c r="E187" s="11422" t="s">
        <v>2317</v>
      </c>
      <c r="F187" s="11422" t="s">
        <v>2318</v>
      </c>
      <c r="G187" s="11422" t="s">
        <v>2319</v>
      </c>
      <c r="H187" s="11422" t="s">
        <v>24</v>
      </c>
      <c r="I187" s="11422" t="s">
        <v>864</v>
      </c>
    </row>
    <row customHeight="1" ht="11.25">
      <c r="A188" s="11422" t="s">
        <v>2224</v>
      </c>
      <c r="B188" s="11422" t="s">
        <v>14</v>
      </c>
      <c r="C188" s="11422" t="s">
        <v>2320</v>
      </c>
      <c r="D188" s="11422" t="s">
        <v>2321</v>
      </c>
      <c r="E188" s="11422" t="s">
        <v>2322</v>
      </c>
      <c r="F188" s="11422" t="s">
        <v>2323</v>
      </c>
      <c r="G188" s="11422" t="s">
        <v>24</v>
      </c>
      <c r="H188" s="11422" t="s">
        <v>24</v>
      </c>
      <c r="I188" s="11422" t="s">
        <v>864</v>
      </c>
    </row>
    <row customHeight="1" ht="11.25">
      <c r="A189" s="11422" t="s">
        <v>2224</v>
      </c>
      <c r="B189" s="11422" t="s">
        <v>14</v>
      </c>
      <c r="C189" s="11422" t="s">
        <v>2504</v>
      </c>
      <c r="D189" s="11422" t="s">
        <v>2505</v>
      </c>
      <c r="E189" s="11422" t="s">
        <v>2506</v>
      </c>
      <c r="F189" s="11422" t="s">
        <v>2507</v>
      </c>
      <c r="G189" s="11422" t="s">
        <v>24</v>
      </c>
      <c r="H189" s="11422" t="s">
        <v>24</v>
      </c>
      <c r="I189" s="11422" t="s">
        <v>864</v>
      </c>
    </row>
    <row customHeight="1" ht="11.25">
      <c r="A190" s="11422" t="s">
        <v>2224</v>
      </c>
      <c r="B190" s="11422" t="s">
        <v>14</v>
      </c>
      <c r="C190" s="11422" t="s">
        <v>2331</v>
      </c>
      <c r="D190" s="11422" t="s">
        <v>2332</v>
      </c>
      <c r="E190" s="11422" t="s">
        <v>2333</v>
      </c>
      <c r="F190" s="11422" t="s">
        <v>2334</v>
      </c>
      <c r="G190" s="11422" t="s">
        <v>24</v>
      </c>
      <c r="H190" s="11422" t="s">
        <v>24</v>
      </c>
      <c r="I190" s="11422" t="s">
        <v>864</v>
      </c>
    </row>
    <row customHeight="1" ht="11.25">
      <c r="A191" s="11422" t="s">
        <v>2224</v>
      </c>
      <c r="B191" s="11422" t="s">
        <v>14</v>
      </c>
      <c r="C191" s="11422" t="s">
        <v>2335</v>
      </c>
      <c r="D191" s="11422" t="s">
        <v>2336</v>
      </c>
      <c r="E191" s="11422" t="s">
        <v>2337</v>
      </c>
      <c r="F191" s="11422" t="s">
        <v>2236</v>
      </c>
      <c r="G191" s="11422" t="s">
        <v>24</v>
      </c>
      <c r="H191" s="11422" t="s">
        <v>24</v>
      </c>
      <c r="I191" s="11422" t="s">
        <v>864</v>
      </c>
    </row>
    <row customHeight="1" ht="11.25">
      <c r="A192" s="11422" t="s">
        <v>2224</v>
      </c>
      <c r="B192" s="11422" t="s">
        <v>14</v>
      </c>
      <c r="C192" s="11422" t="s">
        <v>2508</v>
      </c>
      <c r="D192" s="11422" t="s">
        <v>2509</v>
      </c>
      <c r="E192" s="11422" t="s">
        <v>2510</v>
      </c>
      <c r="F192" s="11422" t="s">
        <v>2334</v>
      </c>
      <c r="G192" s="11422" t="s">
        <v>2511</v>
      </c>
      <c r="H192" s="11422" t="s">
        <v>24</v>
      </c>
      <c r="I192" s="11422" t="s">
        <v>864</v>
      </c>
    </row>
    <row customHeight="1" ht="11.25">
      <c r="A193" s="11422" t="s">
        <v>2224</v>
      </c>
      <c r="B193" s="11422" t="s">
        <v>14</v>
      </c>
      <c r="C193" s="11422" t="s">
        <v>2341</v>
      </c>
      <c r="D193" s="11422" t="s">
        <v>2342</v>
      </c>
      <c r="E193" s="11422" t="s">
        <v>2343</v>
      </c>
      <c r="F193" s="11422" t="s">
        <v>2236</v>
      </c>
      <c r="G193" s="11422" t="s">
        <v>24</v>
      </c>
      <c r="H193" s="11422" t="s">
        <v>24</v>
      </c>
      <c r="I193" s="11422" t="s">
        <v>864</v>
      </c>
    </row>
    <row customHeight="1" ht="11.25">
      <c r="A194" s="11422" t="s">
        <v>2224</v>
      </c>
      <c r="B194" s="11422" t="s">
        <v>14</v>
      </c>
      <c r="C194" s="11422" t="s">
        <v>2347</v>
      </c>
      <c r="D194" s="11422" t="s">
        <v>2348</v>
      </c>
      <c r="E194" s="11422" t="s">
        <v>2349</v>
      </c>
      <c r="F194" s="11422" t="s">
        <v>2318</v>
      </c>
      <c r="G194" s="11422" t="s">
        <v>24</v>
      </c>
      <c r="H194" s="11422" t="s">
        <v>24</v>
      </c>
      <c r="I194" s="11422" t="s">
        <v>864</v>
      </c>
    </row>
    <row customHeight="1" ht="11.25">
      <c r="A195" s="11422" t="s">
        <v>2224</v>
      </c>
      <c r="B195" s="11422" t="s">
        <v>14</v>
      </c>
      <c r="C195" s="11422" t="s">
        <v>2350</v>
      </c>
      <c r="D195" s="11422" t="s">
        <v>2351</v>
      </c>
      <c r="E195" s="11422" t="s">
        <v>2352</v>
      </c>
      <c r="F195" s="11422" t="s">
        <v>2318</v>
      </c>
      <c r="G195" s="11422" t="s">
        <v>2353</v>
      </c>
      <c r="H195" s="11422" t="s">
        <v>24</v>
      </c>
      <c r="I195" s="11422" t="s">
        <v>864</v>
      </c>
    </row>
    <row customHeight="1" ht="11.25">
      <c r="A196" s="11422" t="s">
        <v>2224</v>
      </c>
      <c r="B196" s="11422" t="s">
        <v>14</v>
      </c>
      <c r="C196" s="11422" t="s">
        <v>2512</v>
      </c>
      <c r="D196" s="11422" t="s">
        <v>2513</v>
      </c>
      <c r="E196" s="11422" t="s">
        <v>2514</v>
      </c>
      <c r="F196" s="11422" t="s">
        <v>2385</v>
      </c>
      <c r="G196" s="11422" t="s">
        <v>2515</v>
      </c>
      <c r="H196" s="11422" t="s">
        <v>24</v>
      </c>
      <c r="I196" s="11422" t="s">
        <v>864</v>
      </c>
    </row>
    <row customHeight="1" ht="11.25">
      <c r="A197" s="11422" t="s">
        <v>2224</v>
      </c>
      <c r="B197" s="11422" t="s">
        <v>14</v>
      </c>
      <c r="C197" s="11422" t="s">
        <v>2516</v>
      </c>
      <c r="D197" s="11422" t="s">
        <v>2517</v>
      </c>
      <c r="E197" s="11422" t="s">
        <v>2518</v>
      </c>
      <c r="F197" s="11422" t="s">
        <v>2303</v>
      </c>
      <c r="G197" s="11422" t="s">
        <v>24</v>
      </c>
      <c r="H197" s="11422" t="s">
        <v>24</v>
      </c>
      <c r="I197" s="11422" t="s">
        <v>864</v>
      </c>
    </row>
    <row customHeight="1" ht="11.25">
      <c r="A198" s="11422" t="s">
        <v>2224</v>
      </c>
      <c r="B198" s="11422" t="s">
        <v>14</v>
      </c>
      <c r="C198" s="11422" t="s">
        <v>2367</v>
      </c>
      <c r="D198" s="11422" t="s">
        <v>2368</v>
      </c>
      <c r="E198" s="11422" t="s">
        <v>2369</v>
      </c>
      <c r="F198" s="11422" t="s">
        <v>2370</v>
      </c>
      <c r="G198" s="11422" t="s">
        <v>24</v>
      </c>
      <c r="H198" s="11422" t="s">
        <v>24</v>
      </c>
      <c r="I198" s="11422" t="s">
        <v>864</v>
      </c>
    </row>
    <row customHeight="1" ht="11.25">
      <c r="A199" s="11422" t="s">
        <v>2224</v>
      </c>
      <c r="B199" s="11422" t="s">
        <v>14</v>
      </c>
      <c r="C199" s="11422" t="s">
        <v>2375</v>
      </c>
      <c r="D199" s="11422" t="s">
        <v>2376</v>
      </c>
      <c r="E199" s="11422" t="s">
        <v>2377</v>
      </c>
      <c r="F199" s="11422" t="s">
        <v>2318</v>
      </c>
      <c r="G199" s="11422" t="s">
        <v>2378</v>
      </c>
      <c r="H199" s="11422" t="s">
        <v>24</v>
      </c>
      <c r="I199" s="11422" t="s">
        <v>864</v>
      </c>
    </row>
    <row customHeight="1" ht="11.25">
      <c r="A200" s="11422" t="s">
        <v>2224</v>
      </c>
      <c r="B200" s="11422" t="s">
        <v>14</v>
      </c>
      <c r="C200" s="11422" t="s">
        <v>2379</v>
      </c>
      <c r="D200" s="11422" t="s">
        <v>2380</v>
      </c>
      <c r="E200" s="11422" t="s">
        <v>2381</v>
      </c>
      <c r="F200" s="11422" t="s">
        <v>2236</v>
      </c>
      <c r="G200" s="11422" t="s">
        <v>24</v>
      </c>
      <c r="H200" s="11422" t="s">
        <v>24</v>
      </c>
      <c r="I200" s="11422" t="s">
        <v>864</v>
      </c>
    </row>
    <row customHeight="1" ht="11.25">
      <c r="A201" s="11422" t="s">
        <v>2224</v>
      </c>
      <c r="B201" s="11422" t="s">
        <v>14</v>
      </c>
      <c r="C201" s="11422" t="s">
        <v>2519</v>
      </c>
      <c r="D201" s="11422" t="s">
        <v>2520</v>
      </c>
      <c r="E201" s="11422" t="s">
        <v>2521</v>
      </c>
      <c r="F201" s="11422" t="s">
        <v>2507</v>
      </c>
      <c r="G201" s="11422" t="s">
        <v>24</v>
      </c>
      <c r="H201" s="11422" t="s">
        <v>2522</v>
      </c>
      <c r="I201" s="11422" t="s">
        <v>864</v>
      </c>
    </row>
    <row customHeight="1" ht="11.25">
      <c r="A202" s="11422" t="s">
        <v>2224</v>
      </c>
      <c r="B202" s="11422" t="s">
        <v>14</v>
      </c>
      <c r="C202" s="11422" t="s">
        <v>2523</v>
      </c>
      <c r="D202" s="11422" t="s">
        <v>2524</v>
      </c>
      <c r="E202" s="11422" t="s">
        <v>2525</v>
      </c>
      <c r="F202" s="11422" t="s">
        <v>51</v>
      </c>
      <c r="G202" s="11422" t="s">
        <v>2526</v>
      </c>
      <c r="H202" s="11422" t="s">
        <v>24</v>
      </c>
      <c r="I202" s="11422" t="s">
        <v>864</v>
      </c>
    </row>
    <row customHeight="1" ht="11.25">
      <c r="A203" s="11422" t="s">
        <v>2224</v>
      </c>
      <c r="B203" s="11422" t="s">
        <v>14</v>
      </c>
      <c r="C203" s="11422" t="s">
        <v>2387</v>
      </c>
      <c r="D203" s="11422" t="s">
        <v>2388</v>
      </c>
      <c r="E203" s="11422" t="s">
        <v>2389</v>
      </c>
      <c r="F203" s="11422" t="s">
        <v>2390</v>
      </c>
      <c r="G203" s="11422" t="s">
        <v>2391</v>
      </c>
      <c r="H203" s="11422" t="s">
        <v>24</v>
      </c>
      <c r="I203" s="11422" t="s">
        <v>864</v>
      </c>
    </row>
    <row customHeight="1" ht="11.25">
      <c r="A204" s="11422" t="s">
        <v>2224</v>
      </c>
      <c r="B204" s="11422" t="s">
        <v>14</v>
      </c>
      <c r="C204" s="11422" t="s">
        <v>2392</v>
      </c>
      <c r="D204" s="11422" t="s">
        <v>2393</v>
      </c>
      <c r="E204" s="11422" t="s">
        <v>2394</v>
      </c>
      <c r="F204" s="11422" t="s">
        <v>2395</v>
      </c>
      <c r="G204" s="11422" t="s">
        <v>24</v>
      </c>
      <c r="H204" s="11422" t="s">
        <v>24</v>
      </c>
      <c r="I204" s="11422" t="s">
        <v>864</v>
      </c>
    </row>
    <row customHeight="1" ht="11.25">
      <c r="A205" s="11422" t="s">
        <v>2224</v>
      </c>
      <c r="B205" s="11422" t="s">
        <v>14</v>
      </c>
      <c r="C205" s="11422" t="s">
        <v>2532</v>
      </c>
      <c r="D205" s="11422" t="s">
        <v>2533</v>
      </c>
      <c r="E205" s="11422" t="s">
        <v>2534</v>
      </c>
      <c r="F205" s="11422" t="s">
        <v>2535</v>
      </c>
      <c r="G205" s="11422" t="s">
        <v>24</v>
      </c>
      <c r="H205" s="11422" t="s">
        <v>24</v>
      </c>
      <c r="I205" s="11422" t="s">
        <v>864</v>
      </c>
    </row>
    <row customHeight="1" ht="11.25">
      <c r="A206" s="11422" t="s">
        <v>2224</v>
      </c>
      <c r="B206" s="11422" t="s">
        <v>14</v>
      </c>
      <c r="C206" s="11422" t="s">
        <v>2536</v>
      </c>
      <c r="D206" s="11422" t="s">
        <v>2537</v>
      </c>
      <c r="E206" s="11422" t="s">
        <v>2538</v>
      </c>
      <c r="F206" s="11422" t="s">
        <v>2535</v>
      </c>
      <c r="G206" s="11422" t="s">
        <v>24</v>
      </c>
      <c r="H206" s="11422" t="s">
        <v>24</v>
      </c>
      <c r="I206" s="11422" t="s">
        <v>864</v>
      </c>
    </row>
    <row customHeight="1" ht="11.25">
      <c r="A207" s="11422" t="s">
        <v>2224</v>
      </c>
      <c r="B207" s="11422" t="s">
        <v>14</v>
      </c>
      <c r="C207" s="11422" t="s">
        <v>2557</v>
      </c>
      <c r="D207" s="11422" t="s">
        <v>2558</v>
      </c>
      <c r="E207" s="11422" t="s">
        <v>2559</v>
      </c>
      <c r="F207" s="11422" t="s">
        <v>51</v>
      </c>
      <c r="G207" s="11422" t="s">
        <v>24</v>
      </c>
      <c r="H207" s="11422" t="s">
        <v>2560</v>
      </c>
      <c r="I207" s="11422" t="s">
        <v>864</v>
      </c>
    </row>
    <row customHeight="1" ht="11.25">
      <c r="A208" s="11422" t="s">
        <v>2224</v>
      </c>
      <c r="B208" s="11422" t="s">
        <v>14</v>
      </c>
      <c r="C208" s="11422" t="s">
        <v>2539</v>
      </c>
      <c r="D208" s="11422" t="s">
        <v>2540</v>
      </c>
      <c r="E208" s="11422" t="s">
        <v>2541</v>
      </c>
      <c r="F208" s="11422" t="s">
        <v>2530</v>
      </c>
      <c r="G208" s="11422" t="s">
        <v>2542</v>
      </c>
      <c r="H208" s="11422" t="s">
        <v>24</v>
      </c>
      <c r="I208" s="11422" t="s">
        <v>864</v>
      </c>
    </row>
    <row customHeight="1" ht="11.25">
      <c r="A209" s="11422" t="s">
        <v>2224</v>
      </c>
      <c r="B209" s="11422" t="s">
        <v>14</v>
      </c>
      <c r="C209" s="11422" t="s">
        <v>2402</v>
      </c>
      <c r="D209" s="11422" t="s">
        <v>2403</v>
      </c>
      <c r="E209" s="11422" t="s">
        <v>2404</v>
      </c>
      <c r="F209" s="11422" t="s">
        <v>2405</v>
      </c>
      <c r="G209" s="11422" t="s">
        <v>2406</v>
      </c>
      <c r="H209" s="11422" t="s">
        <v>24</v>
      </c>
      <c r="I209" s="11422" t="s">
        <v>864</v>
      </c>
    </row>
    <row customHeight="1" ht="11.25">
      <c r="A210" s="11422" t="s">
        <v>2224</v>
      </c>
      <c r="B210" s="11422" t="s">
        <v>14</v>
      </c>
      <c r="C210" s="11422" t="s">
        <v>2543</v>
      </c>
      <c r="D210" s="11422" t="s">
        <v>2544</v>
      </c>
      <c r="E210" s="11422" t="s">
        <v>2545</v>
      </c>
      <c r="F210" s="11422" t="s">
        <v>2385</v>
      </c>
      <c r="G210" s="11422" t="s">
        <v>24</v>
      </c>
      <c r="H210" s="11422" t="s">
        <v>24</v>
      </c>
      <c r="I210" s="11422" t="s">
        <v>864</v>
      </c>
    </row>
    <row customHeight="1" ht="11.25">
      <c r="A211" s="11422" t="s">
        <v>2224</v>
      </c>
      <c r="B211" s="11422" t="s">
        <v>14</v>
      </c>
      <c r="C211" s="11422" t="s">
        <v>2546</v>
      </c>
      <c r="D211" s="11422" t="s">
        <v>2547</v>
      </c>
      <c r="E211" s="11422" t="s">
        <v>2548</v>
      </c>
      <c r="F211" s="11422" t="s">
        <v>2432</v>
      </c>
      <c r="G211" s="11422" t="s">
        <v>2549</v>
      </c>
      <c r="H211" s="11422" t="s">
        <v>24</v>
      </c>
      <c r="I211" s="11422" t="s">
        <v>864</v>
      </c>
    </row>
    <row customHeight="1" ht="11.25">
      <c r="A212" s="11422" t="s">
        <v>2224</v>
      </c>
      <c r="B212" s="11422" t="s">
        <v>14</v>
      </c>
      <c r="C212" s="11422" t="s">
        <v>2417</v>
      </c>
      <c r="D212" s="11422" t="s">
        <v>2418</v>
      </c>
      <c r="E212" s="11422" t="s">
        <v>2419</v>
      </c>
      <c r="F212" s="11422" t="s">
        <v>2334</v>
      </c>
      <c r="G212" s="11422" t="s">
        <v>2420</v>
      </c>
      <c r="H212" s="11422" t="s">
        <v>24</v>
      </c>
      <c r="I212" s="11422" t="s">
        <v>864</v>
      </c>
    </row>
    <row customHeight="1" ht="11.25">
      <c r="A213" s="11422" t="s">
        <v>2224</v>
      </c>
      <c r="B213" s="11422" t="s">
        <v>14</v>
      </c>
      <c r="C213" s="11422" t="s">
        <v>2550</v>
      </c>
      <c r="D213" s="11422" t="s">
        <v>2551</v>
      </c>
      <c r="E213" s="11422" t="s">
        <v>2552</v>
      </c>
      <c r="F213" s="11422" t="s">
        <v>2236</v>
      </c>
      <c r="G213" s="11422" t="s">
        <v>24</v>
      </c>
      <c r="H213" s="11422" t="s">
        <v>24</v>
      </c>
      <c r="I213" s="11422" t="s">
        <v>864</v>
      </c>
    </row>
    <row customHeight="1" ht="11.25">
      <c r="A214" s="11422" t="s">
        <v>2224</v>
      </c>
      <c r="B214" s="11422" t="s">
        <v>14</v>
      </c>
      <c r="C214" s="11422" t="s">
        <v>2561</v>
      </c>
      <c r="D214" s="11422" t="s">
        <v>2562</v>
      </c>
      <c r="E214" s="11422" t="s">
        <v>2563</v>
      </c>
      <c r="F214" s="11422" t="s">
        <v>2564</v>
      </c>
      <c r="G214" s="11422" t="s">
        <v>2565</v>
      </c>
      <c r="H214" s="11422" t="s">
        <v>24</v>
      </c>
      <c r="I214" s="11422" t="s">
        <v>864</v>
      </c>
    </row>
    <row customHeight="1" ht="11.25">
      <c r="A215" s="11422" t="s">
        <v>2224</v>
      </c>
      <c r="B215" s="11422" t="s">
        <v>14</v>
      </c>
      <c r="C215" s="11422" t="s">
        <v>2439</v>
      </c>
      <c r="D215" s="11422" t="s">
        <v>2440</v>
      </c>
      <c r="E215" s="11422" t="s">
        <v>2441</v>
      </c>
      <c r="F215" s="11422" t="s">
        <v>2442</v>
      </c>
      <c r="G215" s="11422" t="s">
        <v>2443</v>
      </c>
      <c r="H215" s="11422" t="s">
        <v>24</v>
      </c>
      <c r="I215" s="11422" t="s">
        <v>864</v>
      </c>
    </row>
    <row customHeight="1" ht="11.25">
      <c r="A216" s="11422" t="s">
        <v>2224</v>
      </c>
      <c r="B216" s="11422" t="s">
        <v>14</v>
      </c>
      <c r="C216" s="11422" t="s">
        <v>2450</v>
      </c>
      <c r="D216" s="11422" t="s">
        <v>2451</v>
      </c>
      <c r="E216" s="11422" t="s">
        <v>2441</v>
      </c>
      <c r="F216" s="11422" t="s">
        <v>2452</v>
      </c>
      <c r="G216" s="11422" t="s">
        <v>2453</v>
      </c>
      <c r="H216" s="11422" t="s">
        <v>24</v>
      </c>
      <c r="I216" s="11422" t="s">
        <v>864</v>
      </c>
    </row>
    <row customHeight="1" ht="11.25">
      <c r="A217" s="11422" t="s">
        <v>2224</v>
      </c>
      <c r="B217" s="11422" t="s">
        <v>14</v>
      </c>
      <c r="C217" s="11422" t="s">
        <v>2454</v>
      </c>
      <c r="D217" s="11422" t="s">
        <v>2455</v>
      </c>
      <c r="E217" s="11422" t="s">
        <v>2456</v>
      </c>
      <c r="F217" s="11422" t="s">
        <v>2236</v>
      </c>
      <c r="G217" s="11422" t="s">
        <v>2457</v>
      </c>
      <c r="H217" s="11422" t="s">
        <v>2458</v>
      </c>
      <c r="I217" s="11422" t="s">
        <v>864</v>
      </c>
    </row>
    <row customHeight="1" ht="11.25">
      <c r="A218" s="11422" t="s">
        <v>2224</v>
      </c>
      <c r="B218" s="11422" t="s">
        <v>14</v>
      </c>
      <c r="C218" s="11422" t="s">
        <v>2459</v>
      </c>
      <c r="D218" s="11422" t="s">
        <v>2460</v>
      </c>
      <c r="E218" s="11422" t="s">
        <v>2461</v>
      </c>
      <c r="F218" s="11422" t="s">
        <v>2462</v>
      </c>
      <c r="G218" s="11422" t="s">
        <v>24</v>
      </c>
      <c r="H218" s="11422" t="s">
        <v>24</v>
      </c>
      <c r="I218" s="11422" t="s">
        <v>864</v>
      </c>
    </row>
    <row customHeight="1" ht="11.25">
      <c r="A219" s="11422" t="s">
        <v>2224</v>
      </c>
      <c r="B219" s="11422" t="s">
        <v>14</v>
      </c>
      <c r="C219" s="11422" t="s">
        <v>2468</v>
      </c>
      <c r="D219" s="11422" t="s">
        <v>2469</v>
      </c>
      <c r="E219" s="11422" t="s">
        <v>2470</v>
      </c>
      <c r="F219" s="11422" t="s">
        <v>2466</v>
      </c>
      <c r="G219" s="11422" t="s">
        <v>24</v>
      </c>
      <c r="H219" s="11422" t="s">
        <v>24</v>
      </c>
      <c r="I219" s="11422" t="s">
        <v>864</v>
      </c>
    </row>
    <row customHeight="1" ht="11.25">
      <c r="A220" s="11422" t="s">
        <v>2224</v>
      </c>
      <c r="B220" s="11422" t="s">
        <v>14</v>
      </c>
      <c r="C220" s="11422" t="s">
        <v>2566</v>
      </c>
      <c r="D220" s="11422" t="s">
        <v>2567</v>
      </c>
      <c r="E220" s="11422" t="s">
        <v>2568</v>
      </c>
      <c r="F220" s="11422" t="s">
        <v>2569</v>
      </c>
      <c r="G220" s="11422" t="s">
        <v>24</v>
      </c>
      <c r="H220" s="11422" t="s">
        <v>24</v>
      </c>
      <c r="I220" s="11422" t="s">
        <v>864</v>
      </c>
    </row>
    <row customHeight="1" ht="11.25">
      <c r="A221" s="11422" t="s">
        <v>2224</v>
      </c>
      <c r="B221" s="11422" t="s">
        <v>14</v>
      </c>
      <c r="C221" s="11422" t="s">
        <v>2474</v>
      </c>
      <c r="D221" s="11422" t="s">
        <v>2475</v>
      </c>
      <c r="E221" s="11422" t="s">
        <v>2476</v>
      </c>
      <c r="F221" s="11422" t="s">
        <v>2395</v>
      </c>
      <c r="G221" s="11422" t="s">
        <v>24</v>
      </c>
      <c r="H221" s="11422" t="s">
        <v>24</v>
      </c>
      <c r="I221" s="11422" t="s">
        <v>864</v>
      </c>
    </row>
    <row customHeight="1" ht="11.25">
      <c r="A222" s="11422" t="s">
        <v>2224</v>
      </c>
      <c r="B222" s="11422" t="s">
        <v>14</v>
      </c>
      <c r="C222" s="11422" t="s">
        <v>2237</v>
      </c>
      <c r="D222" s="11422" t="s">
        <v>2238</v>
      </c>
      <c r="E222" s="11422" t="s">
        <v>2239</v>
      </c>
      <c r="F222" s="11422" t="s">
        <v>51</v>
      </c>
      <c r="G222" s="11422" t="s">
        <v>2240</v>
      </c>
      <c r="H222" s="11422" t="s">
        <v>24</v>
      </c>
      <c r="I222" s="11422" t="s">
        <v>1586</v>
      </c>
    </row>
    <row customHeight="1" ht="11.25">
      <c r="A223" s="11422" t="s">
        <v>2224</v>
      </c>
      <c r="B223" s="11422" t="s">
        <v>14</v>
      </c>
      <c r="C223" s="11422" t="s">
        <v>24</v>
      </c>
      <c r="D223" s="11422" t="s">
        <v>2298</v>
      </c>
      <c r="E223" s="11422" t="s">
        <v>2299</v>
      </c>
      <c r="F223" s="11422" t="s">
        <v>51</v>
      </c>
      <c r="G223" s="11422" t="s">
        <v>24</v>
      </c>
      <c r="H223" s="11422" t="s">
        <v>24</v>
      </c>
      <c r="I223" s="11422" t="s">
        <v>1586</v>
      </c>
    </row>
    <row customHeight="1" ht="11.25">
      <c r="A224" s="11422" t="s">
        <v>2224</v>
      </c>
      <c r="B224" s="11422" t="s">
        <v>14</v>
      </c>
      <c r="C224" s="11422" t="s">
        <v>2570</v>
      </c>
      <c r="D224" s="11422" t="s">
        <v>2571</v>
      </c>
      <c r="E224" s="11422" t="s">
        <v>2572</v>
      </c>
      <c r="F224" s="11422" t="s">
        <v>2252</v>
      </c>
      <c r="G224" s="11422" t="s">
        <v>24</v>
      </c>
      <c r="H224" s="11422" t="s">
        <v>24</v>
      </c>
      <c r="I224" s="11422" t="s">
        <v>1586</v>
      </c>
    </row>
    <row customHeight="1" ht="11.25">
      <c r="A225" s="11422" t="s">
        <v>2224</v>
      </c>
      <c r="B225" s="11422" t="s">
        <v>14</v>
      </c>
      <c r="C225" s="11422" t="s">
        <v>2324</v>
      </c>
      <c r="D225" s="11422" t="s">
        <v>2325</v>
      </c>
      <c r="E225" s="11422" t="s">
        <v>2326</v>
      </c>
      <c r="F225" s="11422" t="s">
        <v>2268</v>
      </c>
      <c r="G225" s="11422" t="s">
        <v>24</v>
      </c>
      <c r="H225" s="11422" t="s">
        <v>24</v>
      </c>
      <c r="I225" s="11422" t="s">
        <v>1586</v>
      </c>
    </row>
    <row customHeight="1" ht="11.25">
      <c r="A226" s="11422" t="s">
        <v>2224</v>
      </c>
      <c r="B226" s="11422" t="s">
        <v>14</v>
      </c>
      <c r="C226" s="11422" t="s">
        <v>2519</v>
      </c>
      <c r="D226" s="11422" t="s">
        <v>2520</v>
      </c>
      <c r="E226" s="11422" t="s">
        <v>2521</v>
      </c>
      <c r="F226" s="11422" t="s">
        <v>2507</v>
      </c>
      <c r="G226" s="11422" t="s">
        <v>24</v>
      </c>
      <c r="H226" s="11422" t="s">
        <v>2522</v>
      </c>
      <c r="I226" s="11422" t="s">
        <v>1586</v>
      </c>
    </row>
    <row customHeight="1" ht="11.25">
      <c r="A227" s="11422" t="s">
        <v>2224</v>
      </c>
      <c r="B227" s="11422" t="s">
        <v>14</v>
      </c>
      <c r="C227" s="11422" t="s">
        <v>2382</v>
      </c>
      <c r="D227" s="11422" t="s">
        <v>2383</v>
      </c>
      <c r="E227" s="11422" t="s">
        <v>2384</v>
      </c>
      <c r="F227" s="11422" t="s">
        <v>2385</v>
      </c>
      <c r="G227" s="11422" t="s">
        <v>2386</v>
      </c>
      <c r="H227" s="11422" t="s">
        <v>24</v>
      </c>
      <c r="I227" s="11422" t="s">
        <v>1586</v>
      </c>
    </row>
    <row customHeight="1" ht="11.25">
      <c r="A228" s="11422" t="s">
        <v>2224</v>
      </c>
      <c r="B228" s="11422" t="s">
        <v>14</v>
      </c>
      <c r="C228" s="11422" t="s">
        <v>2573</v>
      </c>
      <c r="D228" s="11422" t="s">
        <v>2574</v>
      </c>
      <c r="E228" s="11422" t="s">
        <v>2575</v>
      </c>
      <c r="F228" s="11422" t="s">
        <v>2466</v>
      </c>
      <c r="G228" s="11422" t="s">
        <v>24</v>
      </c>
      <c r="H228" s="11422" t="s">
        <v>24</v>
      </c>
      <c r="I228" s="11422" t="s">
        <v>1586</v>
      </c>
    </row>
    <row customHeight="1" ht="11.25">
      <c r="A229" s="11422" t="s">
        <v>2224</v>
      </c>
      <c r="B229" s="11422" t="s">
        <v>14</v>
      </c>
      <c r="C229" s="11422" t="s">
        <v>2576</v>
      </c>
      <c r="D229" s="11422" t="s">
        <v>2577</v>
      </c>
      <c r="E229" s="11422" t="s">
        <v>2578</v>
      </c>
      <c r="F229" s="11422" t="s">
        <v>2318</v>
      </c>
      <c r="G229" s="11422" t="s">
        <v>24</v>
      </c>
      <c r="H229" s="11422" t="s">
        <v>24</v>
      </c>
      <c r="I229" s="11422" t="s">
        <v>1586</v>
      </c>
    </row>
    <row customHeight="1" ht="11.25">
      <c r="A230" s="11422" t="s">
        <v>2224</v>
      </c>
      <c r="B230" s="11422" t="s">
        <v>14</v>
      </c>
      <c r="C230" s="11422" t="s">
        <v>2579</v>
      </c>
      <c r="D230" s="11422" t="s">
        <v>2580</v>
      </c>
      <c r="E230" s="11422" t="s">
        <v>2581</v>
      </c>
      <c r="F230" s="11422" t="s">
        <v>2334</v>
      </c>
      <c r="G230" s="11422" t="s">
        <v>24</v>
      </c>
      <c r="H230" s="11422" t="s">
        <v>24</v>
      </c>
      <c r="I230" s="11422" t="s">
        <v>1586</v>
      </c>
    </row>
    <row customHeight="1" ht="11.25">
      <c r="A231" s="11422" t="s">
        <v>2224</v>
      </c>
      <c r="B231" s="11422" t="s">
        <v>14</v>
      </c>
      <c r="C231" s="11422" t="s">
        <v>2582</v>
      </c>
      <c r="D231" s="11422" t="s">
        <v>2583</v>
      </c>
      <c r="E231" s="11422" t="s">
        <v>2584</v>
      </c>
      <c r="F231" s="11422" t="s">
        <v>2370</v>
      </c>
      <c r="G231" s="11422" t="s">
        <v>24</v>
      </c>
      <c r="H231" s="11422" t="s">
        <v>24</v>
      </c>
      <c r="I231" s="11422" t="s">
        <v>1586</v>
      </c>
    </row>
    <row customHeight="1" ht="11.25">
      <c r="A232" s="11422" t="s">
        <v>2224</v>
      </c>
      <c r="B232" s="11422" t="s">
        <v>14</v>
      </c>
      <c r="C232" s="11422" t="s">
        <v>2585</v>
      </c>
      <c r="D232" s="11422" t="s">
        <v>2586</v>
      </c>
      <c r="E232" s="11422" t="s">
        <v>2587</v>
      </c>
      <c r="F232" s="11422" t="s">
        <v>51</v>
      </c>
      <c r="G232" s="11422" t="s">
        <v>24</v>
      </c>
      <c r="H232" s="11422" t="s">
        <v>24</v>
      </c>
      <c r="I232" s="11422" t="s">
        <v>1586</v>
      </c>
    </row>
    <row customHeight="1" ht="11.25">
      <c r="A233" s="11422" t="s">
        <v>2224</v>
      </c>
      <c r="B233" s="11422" t="s">
        <v>14</v>
      </c>
      <c r="C233" s="11422" t="s">
        <v>2588</v>
      </c>
      <c r="D233" s="11422" t="s">
        <v>2589</v>
      </c>
      <c r="E233" s="11422" t="s">
        <v>2590</v>
      </c>
      <c r="F233" s="11422" t="s">
        <v>2268</v>
      </c>
      <c r="G233" s="11422" t="s">
        <v>24</v>
      </c>
      <c r="H233" s="11422" t="s">
        <v>24</v>
      </c>
      <c r="I233" s="11422" t="s">
        <v>1586</v>
      </c>
    </row>
    <row customHeight="1" ht="11.25">
      <c r="A234" s="11422" t="s">
        <v>2224</v>
      </c>
      <c r="B234" s="11422" t="s">
        <v>14</v>
      </c>
      <c r="C234" s="11422" t="s">
        <v>2591</v>
      </c>
      <c r="D234" s="11422" t="s">
        <v>2592</v>
      </c>
      <c r="E234" s="11422" t="s">
        <v>2593</v>
      </c>
      <c r="F234" s="11422" t="s">
        <v>2277</v>
      </c>
      <c r="G234" s="11422" t="s">
        <v>24</v>
      </c>
      <c r="H234" s="11422" t="s">
        <v>24</v>
      </c>
      <c r="I234" s="11422" t="s">
        <v>1586</v>
      </c>
    </row>
    <row customHeight="1" ht="11.25">
      <c r="A235" s="11422" t="s">
        <v>2224</v>
      </c>
      <c r="B235" s="11422" t="s">
        <v>14</v>
      </c>
      <c r="C235" s="11422" t="s">
        <v>2594</v>
      </c>
      <c r="D235" s="11422" t="s">
        <v>2595</v>
      </c>
      <c r="E235" s="11422" t="s">
        <v>2596</v>
      </c>
      <c r="F235" s="11422" t="s">
        <v>2303</v>
      </c>
      <c r="G235" s="11422" t="s">
        <v>24</v>
      </c>
      <c r="H235" s="11422" t="s">
        <v>24</v>
      </c>
      <c r="I235" s="11422" t="s">
        <v>1586</v>
      </c>
    </row>
    <row customHeight="1" ht="11.25">
      <c r="A236" s="11422" t="s">
        <v>2224</v>
      </c>
      <c r="B236" s="11422" t="s">
        <v>14</v>
      </c>
      <c r="C236" s="11422" t="s">
        <v>2597</v>
      </c>
      <c r="D236" s="11422" t="s">
        <v>2598</v>
      </c>
      <c r="E236" s="11422" t="s">
        <v>2599</v>
      </c>
      <c r="F236" s="11422" t="s">
        <v>2323</v>
      </c>
      <c r="G236" s="11422" t="s">
        <v>2600</v>
      </c>
      <c r="H236" s="11422" t="s">
        <v>24</v>
      </c>
      <c r="I236" s="11422" t="s">
        <v>1586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854AF9-D27E-8B06-B055-F358D3E1130D}" mc:Ignorable="x14ac xr xr2 xr3">
  <sheetPr>
    <tabColor rgb="FFFFCC99"/>
  </sheetPr>
  <dimension ref="A1:G48"/>
  <sheetViews>
    <sheetView topLeftCell="A1" showGridLines="0" workbookViewId="0">
      <selection activeCell="A1" sqref="A1"/>
    </sheetView>
  </sheetViews>
  <sheetFormatPr customHeight="1" defaultRowHeight="11.25"/>
  <cols>
    <col min="1" max="1" style="38093" width="9.140625"/>
  </cols>
  <sheetData>
    <row customHeight="1" ht="11.25">
      <c r="A1" s="734" t="s">
        <v>2601</v>
      </c>
      <c r="B1" s="422" t="s">
        <v>2602</v>
      </c>
      <c r="C1" s="422" t="s">
        <v>2603</v>
      </c>
      <c r="D1" s="422" t="s">
        <v>2604</v>
      </c>
      <c r="E1" s="284" t="s">
        <v>2605</v>
      </c>
      <c r="F1" s="284" t="s">
        <v>2606</v>
      </c>
      <c r="G1" s="284" t="s">
        <v>2607</v>
      </c>
    </row>
    <row customHeight="1" ht="11.25">
      <c r="A2" s="734" t="s">
        <v>14</v>
      </c>
      <c r="B2" s="0" t="s">
        <v>2608</v>
      </c>
      <c r="C2" s="0" t="s">
        <v>2609</v>
      </c>
      <c r="D2" s="0" t="s">
        <v>2608</v>
      </c>
      <c r="E2" s="0" t="s">
        <v>2609</v>
      </c>
      <c r="F2" s="0" t="s">
        <v>2610</v>
      </c>
      <c r="G2" s="0" t="s">
        <v>118</v>
      </c>
    </row>
    <row customHeight="1" ht="11.25">
      <c r="A3" s="734" t="s">
        <v>14</v>
      </c>
      <c r="B3" s="0" t="s">
        <v>2611</v>
      </c>
      <c r="C3" s="0" t="s">
        <v>2612</v>
      </c>
      <c r="D3" s="0" t="s">
        <v>2611</v>
      </c>
      <c r="E3" s="0" t="s">
        <v>2612</v>
      </c>
      <c r="F3" s="0" t="s">
        <v>2610</v>
      </c>
      <c r="G3" s="0" t="s">
        <v>102</v>
      </c>
    </row>
    <row customHeight="1" ht="11.25">
      <c r="A4" s="734" t="s">
        <v>14</v>
      </c>
      <c r="B4" s="0" t="s">
        <v>2613</v>
      </c>
      <c r="C4" s="0" t="s">
        <v>2614</v>
      </c>
      <c r="D4" s="0" t="s">
        <v>2613</v>
      </c>
      <c r="E4" s="0" t="s">
        <v>2614</v>
      </c>
      <c r="F4" s="0" t="s">
        <v>2610</v>
      </c>
      <c r="G4" s="0" t="s">
        <v>89</v>
      </c>
    </row>
    <row customHeight="1" ht="11.25">
      <c r="A5" s="734" t="s">
        <v>14</v>
      </c>
      <c r="B5" s="0" t="s">
        <v>2615</v>
      </c>
      <c r="C5" s="0" t="s">
        <v>2616</v>
      </c>
      <c r="D5" s="0" t="s">
        <v>2615</v>
      </c>
      <c r="E5" s="0" t="s">
        <v>2616</v>
      </c>
      <c r="F5" s="0" t="s">
        <v>2610</v>
      </c>
      <c r="G5" s="0" t="s">
        <v>90</v>
      </c>
    </row>
    <row customHeight="1" ht="11.25">
      <c r="A6" s="734" t="s">
        <v>14</v>
      </c>
      <c r="B6" s="0" t="s">
        <v>2617</v>
      </c>
      <c r="C6" s="0" t="s">
        <v>2618</v>
      </c>
      <c r="D6" s="0" t="s">
        <v>2617</v>
      </c>
      <c r="E6" s="0" t="s">
        <v>2618</v>
      </c>
      <c r="F6" s="0" t="s">
        <v>2610</v>
      </c>
      <c r="G6" s="0" t="s">
        <v>119</v>
      </c>
    </row>
    <row customHeight="1" ht="11.25">
      <c r="A7" s="734" t="s">
        <v>14</v>
      </c>
      <c r="B7" s="0" t="s">
        <v>2619</v>
      </c>
      <c r="C7" s="0" t="s">
        <v>2620</v>
      </c>
      <c r="D7" s="0" t="s">
        <v>2619</v>
      </c>
      <c r="E7" s="0" t="s">
        <v>2620</v>
      </c>
      <c r="F7" s="0" t="s">
        <v>2610</v>
      </c>
      <c r="G7" s="0" t="s">
        <v>91</v>
      </c>
    </row>
    <row customHeight="1" ht="11.25">
      <c r="A8" s="734" t="s">
        <v>14</v>
      </c>
      <c r="B8" s="0" t="s">
        <v>2621</v>
      </c>
      <c r="C8" s="0" t="s">
        <v>2622</v>
      </c>
      <c r="D8" s="0" t="s">
        <v>2621</v>
      </c>
      <c r="E8" s="0" t="s">
        <v>2622</v>
      </c>
      <c r="F8" s="0" t="s">
        <v>2610</v>
      </c>
      <c r="G8" s="0" t="s">
        <v>92</v>
      </c>
    </row>
    <row customHeight="1" ht="11.25">
      <c r="A9" s="734" t="s">
        <v>14</v>
      </c>
      <c r="B9" s="0" t="s">
        <v>2623</v>
      </c>
      <c r="C9" s="0" t="s">
        <v>2624</v>
      </c>
      <c r="D9" s="0" t="s">
        <v>2623</v>
      </c>
      <c r="E9" s="0" t="s">
        <v>2624</v>
      </c>
      <c r="F9" s="0" t="s">
        <v>2610</v>
      </c>
      <c r="G9" s="0" t="s">
        <v>120</v>
      </c>
    </row>
    <row customHeight="1" ht="11.25">
      <c r="A10" s="734" t="s">
        <v>14</v>
      </c>
      <c r="B10" s="0" t="s">
        <v>2625</v>
      </c>
      <c r="C10" s="0" t="s">
        <v>2626</v>
      </c>
      <c r="D10" s="0" t="s">
        <v>2625</v>
      </c>
      <c r="E10" s="0" t="s">
        <v>2626</v>
      </c>
      <c r="F10" s="0" t="s">
        <v>2610</v>
      </c>
      <c r="G10" s="0" t="s">
        <v>156</v>
      </c>
    </row>
    <row customHeight="1" ht="11.25">
      <c r="A11" s="734" t="s">
        <v>14</v>
      </c>
      <c r="B11" s="0" t="s">
        <v>2627</v>
      </c>
      <c r="C11" s="0" t="s">
        <v>2628</v>
      </c>
      <c r="D11" s="0" t="s">
        <v>2627</v>
      </c>
      <c r="E11" s="0" t="s">
        <v>2628</v>
      </c>
      <c r="F11" s="0" t="s">
        <v>2610</v>
      </c>
      <c r="G11" s="0" t="s">
        <v>157</v>
      </c>
    </row>
    <row customHeight="1" ht="11.25">
      <c r="A12" s="734" t="s">
        <v>14</v>
      </c>
      <c r="B12" s="0" t="s">
        <v>106</v>
      </c>
      <c r="C12" s="0" t="s">
        <v>111</v>
      </c>
      <c r="D12" s="0" t="s">
        <v>107</v>
      </c>
      <c r="E12" s="0" t="s">
        <v>108</v>
      </c>
      <c r="F12" s="0" t="s">
        <v>2629</v>
      </c>
      <c r="G12" s="0" t="s">
        <v>105</v>
      </c>
    </row>
    <row customHeight="1" ht="11.25">
      <c r="A13" s="734" t="s">
        <v>14</v>
      </c>
      <c r="B13" s="0" t="s">
        <v>106</v>
      </c>
      <c r="C13" s="0" t="s">
        <v>111</v>
      </c>
      <c r="D13" s="0" t="s">
        <v>2630</v>
      </c>
      <c r="E13" s="0" t="s">
        <v>2631</v>
      </c>
      <c r="F13" s="0" t="s">
        <v>2632</v>
      </c>
      <c r="G13" s="0" t="s">
        <v>158</v>
      </c>
    </row>
    <row customHeight="1" ht="11.25">
      <c r="A14" s="734" t="s">
        <v>14</v>
      </c>
      <c r="B14" s="0" t="s">
        <v>106</v>
      </c>
      <c r="C14" s="0" t="s">
        <v>111</v>
      </c>
      <c r="D14" s="0" t="s">
        <v>2633</v>
      </c>
      <c r="E14" s="0" t="s">
        <v>2634</v>
      </c>
      <c r="F14" s="0" t="s">
        <v>2629</v>
      </c>
      <c r="G14" s="0" t="s">
        <v>159</v>
      </c>
    </row>
    <row customHeight="1" ht="11.25">
      <c r="A15" s="734" t="s">
        <v>14</v>
      </c>
      <c r="B15" s="0" t="s">
        <v>106</v>
      </c>
      <c r="C15" s="0" t="s">
        <v>111</v>
      </c>
      <c r="D15" s="0" t="s">
        <v>106</v>
      </c>
      <c r="E15" s="0" t="s">
        <v>111</v>
      </c>
      <c r="F15" s="0" t="s">
        <v>2635</v>
      </c>
      <c r="G15" s="0" t="s">
        <v>110</v>
      </c>
    </row>
    <row customHeight="1" ht="11.25">
      <c r="A16" s="734" t="s">
        <v>14</v>
      </c>
      <c r="B16" s="0" t="s">
        <v>106</v>
      </c>
      <c r="C16" s="0" t="s">
        <v>111</v>
      </c>
      <c r="D16" s="0" t="s">
        <v>2636</v>
      </c>
      <c r="E16" s="0" t="s">
        <v>2637</v>
      </c>
      <c r="F16" s="0" t="s">
        <v>2638</v>
      </c>
      <c r="G16" s="0" t="s">
        <v>1433</v>
      </c>
    </row>
    <row customHeight="1" ht="11.25">
      <c r="A17" s="734" t="s">
        <v>14</v>
      </c>
      <c r="B17" s="0" t="s">
        <v>99</v>
      </c>
      <c r="C17" s="0" t="s">
        <v>100</v>
      </c>
      <c r="D17" s="0" t="s">
        <v>99</v>
      </c>
      <c r="E17" s="0" t="s">
        <v>100</v>
      </c>
      <c r="F17" s="0" t="s">
        <v>2639</v>
      </c>
      <c r="G17" s="0" t="s">
        <v>98</v>
      </c>
    </row>
    <row customHeight="1" ht="11.25">
      <c r="A18" s="734" t="s">
        <v>14</v>
      </c>
      <c r="B18" s="0" t="s">
        <v>2640</v>
      </c>
      <c r="C18" s="0" t="s">
        <v>2641</v>
      </c>
      <c r="D18" s="0" t="s">
        <v>2640</v>
      </c>
      <c r="E18" s="0" t="s">
        <v>2641</v>
      </c>
      <c r="F18" s="0" t="s">
        <v>2610</v>
      </c>
      <c r="G18" s="0" t="s">
        <v>1449</v>
      </c>
    </row>
    <row customHeight="1" ht="11.25">
      <c r="A19" s="734" t="s">
        <v>14</v>
      </c>
      <c r="B19" s="0" t="s">
        <v>2642</v>
      </c>
      <c r="C19" s="0" t="s">
        <v>2643</v>
      </c>
      <c r="D19" s="0" t="s">
        <v>2642</v>
      </c>
      <c r="E19" s="0" t="s">
        <v>2643</v>
      </c>
      <c r="F19" s="0" t="s">
        <v>2635</v>
      </c>
      <c r="G19" s="0" t="s">
        <v>1463</v>
      </c>
    </row>
    <row customHeight="1" ht="11.25">
      <c r="A20" s="734" t="s">
        <v>14</v>
      </c>
      <c r="B20" s="0" t="s">
        <v>2642</v>
      </c>
      <c r="C20" s="0" t="s">
        <v>2643</v>
      </c>
      <c r="D20" s="0" t="s">
        <v>2644</v>
      </c>
      <c r="E20" s="0" t="s">
        <v>2645</v>
      </c>
      <c r="F20" s="0" t="s">
        <v>2629</v>
      </c>
      <c r="G20" s="0" t="s">
        <v>1475</v>
      </c>
    </row>
    <row customHeight="1" ht="11.25">
      <c r="A21" s="734" t="s">
        <v>14</v>
      </c>
      <c r="B21" s="0" t="s">
        <v>2642</v>
      </c>
      <c r="C21" s="0" t="s">
        <v>2643</v>
      </c>
      <c r="D21" s="0" t="s">
        <v>2646</v>
      </c>
      <c r="E21" s="0" t="s">
        <v>2647</v>
      </c>
      <c r="F21" s="0" t="s">
        <v>2638</v>
      </c>
      <c r="G21" s="0" t="s">
        <v>1484</v>
      </c>
    </row>
    <row customHeight="1" ht="11.25">
      <c r="A22" s="734" t="s">
        <v>14</v>
      </c>
      <c r="B22" s="0" t="s">
        <v>2642</v>
      </c>
      <c r="C22" s="0" t="s">
        <v>2643</v>
      </c>
      <c r="D22" s="0" t="s">
        <v>2648</v>
      </c>
      <c r="E22" s="0" t="s">
        <v>2649</v>
      </c>
      <c r="F22" s="0" t="s">
        <v>2638</v>
      </c>
      <c r="G22" s="0" t="s">
        <v>1500</v>
      </c>
    </row>
    <row customHeight="1" ht="11.25">
      <c r="A23" s="734" t="s">
        <v>14</v>
      </c>
      <c r="B23" s="0" t="s">
        <v>2642</v>
      </c>
      <c r="C23" s="0" t="s">
        <v>2643</v>
      </c>
      <c r="D23" s="0" t="s">
        <v>2650</v>
      </c>
      <c r="E23" s="0" t="s">
        <v>2651</v>
      </c>
      <c r="F23" s="0" t="s">
        <v>2638</v>
      </c>
      <c r="G23" s="0" t="s">
        <v>1507</v>
      </c>
    </row>
    <row customHeight="1" ht="11.25">
      <c r="A24" s="734" t="s">
        <v>14</v>
      </c>
      <c r="B24" s="0" t="s">
        <v>2642</v>
      </c>
      <c r="C24" s="0" t="s">
        <v>2643</v>
      </c>
      <c r="D24" s="0" t="s">
        <v>2652</v>
      </c>
      <c r="E24" s="0" t="s">
        <v>2653</v>
      </c>
      <c r="F24" s="0" t="s">
        <v>2638</v>
      </c>
      <c r="G24" s="0" t="s">
        <v>1515</v>
      </c>
    </row>
    <row customHeight="1" ht="11.25">
      <c r="A25" s="734" t="s">
        <v>14</v>
      </c>
      <c r="B25" s="0" t="s">
        <v>2642</v>
      </c>
      <c r="C25" s="0" t="s">
        <v>2643</v>
      </c>
      <c r="D25" s="0" t="s">
        <v>2654</v>
      </c>
      <c r="E25" s="0" t="s">
        <v>2655</v>
      </c>
      <c r="F25" s="0" t="s">
        <v>2629</v>
      </c>
      <c r="G25" s="0" t="s">
        <v>1522</v>
      </c>
    </row>
    <row customHeight="1" ht="11.25">
      <c r="A26" s="734" t="s">
        <v>14</v>
      </c>
      <c r="B26" s="0" t="s">
        <v>2642</v>
      </c>
      <c r="C26" s="0" t="s">
        <v>2643</v>
      </c>
      <c r="D26" s="0" t="s">
        <v>2656</v>
      </c>
      <c r="E26" s="0" t="s">
        <v>2657</v>
      </c>
      <c r="F26" s="0" t="s">
        <v>2629</v>
      </c>
      <c r="G26" s="0" t="s">
        <v>1526</v>
      </c>
    </row>
    <row customHeight="1" ht="11.25">
      <c r="A27" s="734" t="s">
        <v>14</v>
      </c>
      <c r="B27" s="0" t="s">
        <v>2642</v>
      </c>
      <c r="C27" s="0" t="s">
        <v>2643</v>
      </c>
      <c r="D27" s="0" t="s">
        <v>2658</v>
      </c>
      <c r="E27" s="0" t="s">
        <v>2659</v>
      </c>
      <c r="F27" s="0" t="s">
        <v>2629</v>
      </c>
      <c r="G27" s="0" t="s">
        <v>1531</v>
      </c>
    </row>
    <row customHeight="1" ht="11.25">
      <c r="A28" s="734" t="s">
        <v>14</v>
      </c>
      <c r="B28" s="0" t="s">
        <v>2642</v>
      </c>
      <c r="C28" s="0" t="s">
        <v>2643</v>
      </c>
      <c r="D28" s="0" t="s">
        <v>2660</v>
      </c>
      <c r="E28" s="0" t="s">
        <v>2661</v>
      </c>
      <c r="F28" s="0" t="s">
        <v>2632</v>
      </c>
      <c r="G28" s="0" t="s">
        <v>1539</v>
      </c>
    </row>
    <row customHeight="1" ht="11.25">
      <c r="A29" s="734" t="s">
        <v>14</v>
      </c>
      <c r="B29" s="0" t="s">
        <v>2642</v>
      </c>
      <c r="C29" s="0" t="s">
        <v>2643</v>
      </c>
      <c r="D29" s="0" t="s">
        <v>2662</v>
      </c>
      <c r="E29" s="0" t="s">
        <v>2663</v>
      </c>
      <c r="F29" s="0" t="s">
        <v>2638</v>
      </c>
      <c r="G29" s="0" t="s">
        <v>1541</v>
      </c>
    </row>
    <row customHeight="1" ht="11.25">
      <c r="A30" s="734" t="s">
        <v>14</v>
      </c>
      <c r="B30" s="0" t="s">
        <v>2642</v>
      </c>
      <c r="C30" s="0" t="s">
        <v>2643</v>
      </c>
      <c r="D30" s="0" t="s">
        <v>2664</v>
      </c>
      <c r="E30" s="0" t="s">
        <v>2665</v>
      </c>
      <c r="F30" s="0" t="s">
        <v>2629</v>
      </c>
      <c r="G30" s="0" t="s">
        <v>1544</v>
      </c>
    </row>
    <row customHeight="1" ht="11.25">
      <c r="A31" s="734" t="s">
        <v>14</v>
      </c>
      <c r="B31" s="0" t="s">
        <v>2666</v>
      </c>
      <c r="C31" s="0" t="s">
        <v>2667</v>
      </c>
      <c r="D31" s="0" t="s">
        <v>2666</v>
      </c>
      <c r="E31" s="0" t="s">
        <v>2667</v>
      </c>
      <c r="F31" s="0" t="s">
        <v>2635</v>
      </c>
      <c r="G31" s="0" t="s">
        <v>1549</v>
      </c>
    </row>
    <row customHeight="1" ht="11.25">
      <c r="A32" s="734" t="s">
        <v>14</v>
      </c>
      <c r="B32" s="0" t="s">
        <v>2666</v>
      </c>
      <c r="C32" s="0" t="s">
        <v>2667</v>
      </c>
      <c r="D32" s="0" t="s">
        <v>2668</v>
      </c>
      <c r="E32" s="0" t="s">
        <v>2669</v>
      </c>
      <c r="F32" s="0" t="s">
        <v>2638</v>
      </c>
      <c r="G32" s="0" t="s">
        <v>1551</v>
      </c>
    </row>
    <row customHeight="1" ht="11.25">
      <c r="A33" s="734" t="s">
        <v>14</v>
      </c>
      <c r="B33" s="0" t="s">
        <v>2666</v>
      </c>
      <c r="C33" s="0" t="s">
        <v>2667</v>
      </c>
      <c r="D33" s="0" t="s">
        <v>2670</v>
      </c>
      <c r="E33" s="0" t="s">
        <v>2671</v>
      </c>
      <c r="F33" s="0" t="s">
        <v>2629</v>
      </c>
      <c r="G33" s="0" t="s">
        <v>1553</v>
      </c>
    </row>
    <row customHeight="1" ht="11.25">
      <c r="A34" s="734" t="s">
        <v>14</v>
      </c>
      <c r="B34" s="0" t="s">
        <v>2672</v>
      </c>
      <c r="C34" s="0" t="s">
        <v>2673</v>
      </c>
      <c r="D34" s="0" t="s">
        <v>2672</v>
      </c>
      <c r="E34" s="0" t="s">
        <v>2673</v>
      </c>
      <c r="F34" s="0" t="s">
        <v>2639</v>
      </c>
      <c r="G34" s="0" t="s">
        <v>1555</v>
      </c>
    </row>
    <row customHeight="1" ht="11.25">
      <c r="A35" s="734" t="s">
        <v>14</v>
      </c>
      <c r="B35" s="0" t="s">
        <v>2674</v>
      </c>
      <c r="C35" s="0" t="s">
        <v>2675</v>
      </c>
      <c r="D35" s="0" t="s">
        <v>2676</v>
      </c>
      <c r="E35" s="0" t="s">
        <v>2677</v>
      </c>
      <c r="F35" s="0" t="s">
        <v>2632</v>
      </c>
      <c r="G35" s="0" t="s">
        <v>1560</v>
      </c>
    </row>
    <row customHeight="1" ht="11.25">
      <c r="A36" s="734" t="s">
        <v>14</v>
      </c>
      <c r="B36" s="0" t="s">
        <v>2674</v>
      </c>
      <c r="C36" s="0" t="s">
        <v>2675</v>
      </c>
      <c r="D36" s="0" t="s">
        <v>2674</v>
      </c>
      <c r="E36" s="0" t="s">
        <v>2675</v>
      </c>
      <c r="F36" s="0" t="s">
        <v>2635</v>
      </c>
      <c r="G36" s="0" t="s">
        <v>1565</v>
      </c>
    </row>
    <row customHeight="1" ht="11.25">
      <c r="A37" s="734" t="s">
        <v>14</v>
      </c>
      <c r="B37" s="0" t="s">
        <v>2674</v>
      </c>
      <c r="C37" s="0" t="s">
        <v>2675</v>
      </c>
      <c r="D37" s="0" t="s">
        <v>2678</v>
      </c>
      <c r="E37" s="0" t="s">
        <v>2679</v>
      </c>
      <c r="F37" s="0" t="s">
        <v>2638</v>
      </c>
      <c r="G37" s="0" t="s">
        <v>1569</v>
      </c>
    </row>
    <row customHeight="1" ht="11.25">
      <c r="A38" s="734" t="s">
        <v>14</v>
      </c>
      <c r="B38" s="0" t="s">
        <v>2674</v>
      </c>
      <c r="C38" s="0" t="s">
        <v>2675</v>
      </c>
      <c r="D38" s="0" t="s">
        <v>2680</v>
      </c>
      <c r="E38" s="0" t="s">
        <v>2681</v>
      </c>
      <c r="F38" s="0" t="s">
        <v>2638</v>
      </c>
      <c r="G38" s="0" t="s">
        <v>1576</v>
      </c>
    </row>
    <row customHeight="1" ht="11.25">
      <c r="A39" s="734" t="s">
        <v>14</v>
      </c>
      <c r="B39" s="0" t="s">
        <v>2674</v>
      </c>
      <c r="C39" s="0" t="s">
        <v>2675</v>
      </c>
      <c r="D39" s="0" t="s">
        <v>2682</v>
      </c>
      <c r="E39" s="0" t="s">
        <v>2683</v>
      </c>
      <c r="F39" s="0" t="s">
        <v>2629</v>
      </c>
      <c r="G39" s="0" t="s">
        <v>1582</v>
      </c>
    </row>
    <row customHeight="1" ht="11.25">
      <c r="A40" s="734" t="s">
        <v>14</v>
      </c>
      <c r="B40" s="0" t="s">
        <v>2684</v>
      </c>
      <c r="C40" s="0" t="s">
        <v>2685</v>
      </c>
      <c r="D40" s="0" t="s">
        <v>2686</v>
      </c>
      <c r="E40" s="0" t="s">
        <v>2687</v>
      </c>
      <c r="F40" s="0" t="s">
        <v>2629</v>
      </c>
      <c r="G40" s="0" t="s">
        <v>1587</v>
      </c>
    </row>
    <row customHeight="1" ht="11.25">
      <c r="A41" s="734" t="s">
        <v>14</v>
      </c>
      <c r="B41" s="0" t="s">
        <v>2684</v>
      </c>
      <c r="C41" s="0" t="s">
        <v>2685</v>
      </c>
      <c r="D41" s="0" t="s">
        <v>2688</v>
      </c>
      <c r="E41" s="0" t="s">
        <v>2689</v>
      </c>
      <c r="F41" s="0" t="s">
        <v>2638</v>
      </c>
      <c r="G41" s="0" t="s">
        <v>1591</v>
      </c>
    </row>
    <row customHeight="1" ht="11.25">
      <c r="A42" s="734" t="s">
        <v>14</v>
      </c>
      <c r="B42" s="0" t="s">
        <v>2684</v>
      </c>
      <c r="C42" s="0" t="s">
        <v>2685</v>
      </c>
      <c r="D42" s="0" t="s">
        <v>2684</v>
      </c>
      <c r="E42" s="0" t="s">
        <v>2685</v>
      </c>
      <c r="F42" s="0" t="s">
        <v>2635</v>
      </c>
      <c r="G42" s="0" t="s">
        <v>1594</v>
      </c>
    </row>
    <row customHeight="1" ht="11.25">
      <c r="A43" s="734" t="s">
        <v>14</v>
      </c>
      <c r="B43" s="0" t="s">
        <v>2690</v>
      </c>
      <c r="C43" s="0" t="s">
        <v>2691</v>
      </c>
      <c r="D43" s="0" t="s">
        <v>2690</v>
      </c>
      <c r="E43" s="0" t="s">
        <v>2691</v>
      </c>
      <c r="F43" s="0" t="s">
        <v>2639</v>
      </c>
      <c r="G43" s="0" t="s">
        <v>1601</v>
      </c>
    </row>
    <row customHeight="1" ht="11.25">
      <c r="A44" s="734" t="s">
        <v>14</v>
      </c>
      <c r="B44" s="0" t="s">
        <v>2692</v>
      </c>
      <c r="C44" s="0" t="s">
        <v>2693</v>
      </c>
      <c r="D44" s="0" t="s">
        <v>2692</v>
      </c>
      <c r="E44" s="0" t="s">
        <v>2693</v>
      </c>
      <c r="F44" s="0" t="s">
        <v>2639</v>
      </c>
      <c r="G44" s="0" t="s">
        <v>1610</v>
      </c>
    </row>
    <row customHeight="1" ht="11.25">
      <c r="A45" s="734" t="s">
        <v>14</v>
      </c>
      <c r="B45" s="0" t="s">
        <v>2694</v>
      </c>
      <c r="C45" s="0" t="s">
        <v>2695</v>
      </c>
      <c r="D45" s="0" t="s">
        <v>2694</v>
      </c>
      <c r="E45" s="0" t="s">
        <v>2695</v>
      </c>
      <c r="F45" s="0" t="s">
        <v>2639</v>
      </c>
      <c r="G45" s="0" t="s">
        <v>1615</v>
      </c>
    </row>
    <row customHeight="1" ht="11.25">
      <c r="A46" s="734" t="s">
        <v>14</v>
      </c>
      <c r="B46" s="0" t="s">
        <v>2696</v>
      </c>
      <c r="C46" s="0" t="s">
        <v>2697</v>
      </c>
      <c r="D46" s="0" t="s">
        <v>2696</v>
      </c>
      <c r="E46" s="0" t="s">
        <v>2697</v>
      </c>
      <c r="F46" s="0" t="s">
        <v>2639</v>
      </c>
      <c r="G46" s="0" t="s">
        <v>1619</v>
      </c>
    </row>
    <row customHeight="1" ht="11.25">
      <c r="A47" s="734" t="s">
        <v>14</v>
      </c>
      <c r="B47" s="0" t="s">
        <v>2698</v>
      </c>
      <c r="C47" s="0" t="s">
        <v>2699</v>
      </c>
      <c r="D47" s="0" t="s">
        <v>2698</v>
      </c>
      <c r="E47" s="0" t="s">
        <v>2699</v>
      </c>
      <c r="F47" s="0" t="s">
        <v>2639</v>
      </c>
      <c r="G47" s="0" t="s">
        <v>1625</v>
      </c>
    </row>
    <row customHeight="1" ht="11.25">
      <c r="A48" s="734" t="s">
        <v>14</v>
      </c>
      <c r="B48" s="0" t="s">
        <v>2700</v>
      </c>
      <c r="C48" s="0" t="s">
        <v>2701</v>
      </c>
      <c r="D48" s="0" t="s">
        <v>2700</v>
      </c>
      <c r="E48" s="0" t="s">
        <v>2701</v>
      </c>
      <c r="F48" s="0" t="s">
        <v>2610</v>
      </c>
      <c r="G48" s="0" t="s">
        <v>1630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A8F81-D372-1702-1A28-94CCB0A54773}"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38123" width="13.8515625" customWidth="1"/>
    <col min="2" max="2" style="38123" width="10.421875" customWidth="1"/>
    <col min="3" max="3" style="38124" width="7.57421875" customWidth="1"/>
    <col min="4" max="4" style="38123" width="13.8515625" customWidth="1"/>
    <col min="5" max="5" style="38123" width="11.57421875" customWidth="1"/>
    <col min="6" max="6" style="38123" width="16.28125" customWidth="1"/>
    <col min="7" max="7" style="38123" width="16.00390625" customWidth="1"/>
    <col min="8" max="9" style="38123" width="16.140625" customWidth="1"/>
  </cols>
  <sheetData>
    <row customHeight="1" ht="11.25">
      <c r="A1" s="1196" t="s">
        <v>2702</v>
      </c>
      <c r="B1" s="1196" t="s">
        <v>2703</v>
      </c>
      <c r="C1" s="1522" t="s">
        <v>2704</v>
      </c>
      <c r="D1" s="1196" t="s">
        <v>2705</v>
      </c>
      <c r="E1" s="1196" t="s">
        <v>2706</v>
      </c>
      <c r="F1" s="1522" t="s">
        <v>2707</v>
      </c>
      <c r="G1" s="1522" t="s">
        <v>2708</v>
      </c>
      <c r="H1" s="1522" t="s">
        <v>2709</v>
      </c>
      <c r="I1" s="1522" t="s">
        <v>2710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C5DF5-6674-549F-6FBC-26AD8E2B906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847F9-0296-50A3-4535-2D996E1F52B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80" width="9.140625"/>
  </cols>
  <sheetData>
    <row customHeight="1" ht="11.25">
      <c r="A1" s="80" t="s">
        <v>138</v>
      </c>
      <c r="B1" s="80" t="s">
        <v>2711</v>
      </c>
    </row>
    <row customHeight="1" ht="11.25">
      <c r="A2" s="80" t="s">
        <v>97</v>
      </c>
      <c r="B2" s="80" t="s">
        <v>2712</v>
      </c>
    </row>
    <row customHeight="1" ht="11.25">
      <c r="A3" s="80" t="s">
        <v>104</v>
      </c>
      <c r="B3" s="80" t="s">
        <v>2713</v>
      </c>
    </row>
    <row customHeight="1" ht="11.25">
      <c r="A4" s="80" t="s">
        <v>109</v>
      </c>
      <c r="B4" s="80" t="s">
        <v>2714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9B7C3-74E9-C3B1-4FE2-3C675096E65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38123" width="9.140625"/>
    <col min="2" max="2" style="38123" width="65.28125" customWidth="1"/>
  </cols>
  <sheetData>
    <row customHeight="1" ht="11.25">
      <c r="A1" s="1196" t="s">
        <v>2715</v>
      </c>
      <c r="B1" s="1196" t="s">
        <v>2716</v>
      </c>
    </row>
    <row customHeight="1" ht="11.25">
      <c r="A2" s="1196">
        <v>4213775</v>
      </c>
      <c r="B2" s="1196" t="s">
        <v>1192</v>
      </c>
    </row>
    <row customHeight="1" ht="11.25">
      <c r="A3" s="1196">
        <v>4213784</v>
      </c>
      <c r="B3" s="1196" t="s">
        <v>1226</v>
      </c>
    </row>
    <row customHeight="1" ht="11.25">
      <c r="A4" s="1196">
        <v>4213781</v>
      </c>
      <c r="B4" s="1196" t="s">
        <v>1219</v>
      </c>
    </row>
    <row customHeight="1" ht="11.25">
      <c r="A5" s="1196">
        <v>4213776</v>
      </c>
      <c r="B5" s="1196" t="s">
        <v>172</v>
      </c>
    </row>
    <row customHeight="1" ht="11.25">
      <c r="A6" s="1196">
        <v>4213777</v>
      </c>
      <c r="B6" s="1196" t="s">
        <v>178</v>
      </c>
    </row>
    <row customHeight="1" ht="11.25">
      <c r="A7" s="1196">
        <v>4213778</v>
      </c>
      <c r="B7" s="1196" t="s">
        <v>184</v>
      </c>
    </row>
    <row customHeight="1" ht="11.25">
      <c r="A8" s="1196">
        <v>4213780</v>
      </c>
      <c r="B8" s="1196" t="s">
        <v>190</v>
      </c>
    </row>
    <row customHeight="1" ht="11.25">
      <c r="A9" s="1196">
        <v>4213779</v>
      </c>
      <c r="B9" s="1196" t="s">
        <v>1359</v>
      </c>
    </row>
    <row customHeight="1" ht="11.25">
      <c r="A10" s="1196">
        <v>4213783</v>
      </c>
      <c r="B10" s="1196" t="s">
        <v>208</v>
      </c>
    </row>
    <row customHeight="1" ht="11.25">
      <c r="A11" s="1196">
        <v>4213782</v>
      </c>
      <c r="B11" s="1196"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5B24A-C937-9CB5-E273-EB3DB1F4FF97}"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32070" width="9.140625" hidden="1" customWidth="1"/>
    <col min="2" max="2" style="32071" width="9.140625" hidden="1" customWidth="1"/>
    <col min="3" max="3" style="32072" width="3.7109375" customWidth="1"/>
    <col min="4" max="4" style="32071" width="5.57421875" customWidth="1"/>
    <col min="5" max="5" style="32071" width="48.421875" customWidth="1"/>
    <col min="6" max="6" style="32071" width="38.140625" customWidth="1"/>
    <col min="7" max="7" style="31547" width="1.7109375" hidden="1" customWidth="1"/>
    <col min="8" max="11" style="32071" width="19.8515625" hidden="1" customWidth="1"/>
    <col min="12" max="12" style="32071" width="9.7109375" hidden="1" customWidth="1"/>
    <col min="13" max="18" style="32071" width="19.8515625" hidden="1" customWidth="1"/>
    <col min="19" max="19" style="31547" width="1.7109375" hidden="1" customWidth="1"/>
    <col min="20" max="22" style="32073" width="19.8515625" hidden="1" customWidth="1"/>
    <col min="23" max="23" style="31547" width="1.7109375" hidden="1" customWidth="1"/>
    <col min="24" max="26" style="32073" width="19.8515625" hidden="1" customWidth="1"/>
    <col min="27" max="27" style="31547" width="1.7109375" hidden="1" customWidth="1"/>
    <col min="28" max="29" style="32073" width="19.8515625" customWidth="1"/>
    <col min="30" max="30" style="31547" width="1.7109375" hidden="1" customWidth="1"/>
    <col min="31" max="31" style="32071" width="103.7109375" hidden="1" customWidth="1"/>
    <col min="32" max="33" style="32073" width="103.7109375" hidden="1" customWidth="1"/>
    <col min="34" max="34" style="32073" width="103.7109375" customWidth="1"/>
    <col min="35" max="35" style="32074" width="3.7109375" customWidth="1"/>
    <col min="36" max="38" style="32075" width="10.57421875"/>
    <col min="39" max="39" style="32075" width="13.7109375" hidden="1" customWidth="1"/>
    <col min="40" max="40" style="32075" width="15.421875" customWidth="1"/>
    <col min="41" max="41" style="32075" width="16.28125" customWidth="1"/>
    <col min="42" max="45" style="32075" width="10.57421875"/>
  </cols>
  <sheetData>
    <row customHeight="1" ht="14.25" hidden="1">
      <c r="E1" s="773"/>
      <c r="F1" s="773"/>
      <c r="G1" s="773"/>
      <c r="H1" s="2502" t="s">
        <v>393</v>
      </c>
      <c r="I1" s="2502"/>
      <c r="J1" s="2502"/>
      <c r="K1" s="2502"/>
      <c r="L1" s="2502"/>
      <c r="M1" s="2502"/>
      <c r="N1" s="2502"/>
      <c r="O1" s="2502"/>
      <c r="P1" s="2502"/>
      <c r="Q1" s="2502"/>
      <c r="R1" s="2502"/>
      <c r="T1" s="2502" t="s">
        <v>394</v>
      </c>
      <c r="U1" s="2502"/>
      <c r="V1" s="2502"/>
      <c r="X1" s="2502" t="s">
        <v>395</v>
      </c>
      <c r="Y1" s="2502"/>
      <c r="Z1" s="2502"/>
      <c r="AB1" s="2502" t="s">
        <v>396</v>
      </c>
      <c r="AC1" s="2502"/>
    </row>
    <row customHeight="1" ht="14.25" hidden="1"/>
    <row s="32008" customFormat="1" customHeight="1" ht="6">
      <c r="C3" s="1062"/>
      <c r="D3" s="1063"/>
      <c r="E3" s="1063"/>
      <c r="F3" s="1063"/>
      <c r="G3" s="1063"/>
      <c r="H3" s="1063" t="s">
        <v>397</v>
      </c>
      <c r="I3" s="1063"/>
      <c r="J3" s="1063"/>
      <c r="K3" s="1063"/>
      <c r="L3" s="1063"/>
      <c r="M3" s="1063"/>
      <c r="N3" s="1063"/>
      <c r="O3" s="1063"/>
      <c r="P3" s="1063"/>
      <c r="Q3" s="1063"/>
      <c r="R3" s="1063"/>
      <c r="S3" s="1063"/>
      <c r="T3" s="1063"/>
      <c r="U3" s="1063"/>
      <c r="V3" s="1063"/>
      <c r="W3" s="1063"/>
      <c r="X3" s="1063"/>
      <c r="Y3" s="1063"/>
      <c r="Z3" s="1063"/>
      <c r="AA3" s="1063"/>
      <c r="AB3" s="1063"/>
      <c r="AC3" s="1063"/>
      <c r="AD3" s="1063"/>
      <c r="AE3" s="1063"/>
      <c r="AF3" s="1063"/>
      <c r="AG3" s="1063"/>
      <c r="AH3" s="1063"/>
      <c r="AJ3" s="872"/>
      <c r="AK3" s="872"/>
      <c r="AL3" s="872"/>
      <c r="AM3" s="872"/>
      <c r="AN3" s="872"/>
      <c r="AO3" s="872"/>
      <c r="AP3" s="872"/>
      <c r="AQ3" s="872"/>
      <c r="AR3" s="872"/>
      <c r="AS3" s="872"/>
    </row>
    <row customHeight="1" ht="37.5">
      <c r="C4" s="811"/>
      <c r="D4" s="2440" t="str">
        <f>ORG_VD_NAME_FORM</f>
        <v>Форма 1. Информация об организации, осуществляющей горячее водоснабжение (общая информация)</v>
      </c>
      <c r="E4" s="2441"/>
      <c r="F4" s="2441"/>
      <c r="G4" s="2441"/>
      <c r="H4" s="2441"/>
      <c r="I4" s="2441"/>
      <c r="J4" s="2441"/>
      <c r="K4" s="2441"/>
      <c r="L4" s="2441"/>
      <c r="M4" s="2441"/>
      <c r="N4" s="2441"/>
      <c r="O4" s="2441"/>
      <c r="P4" s="2441"/>
      <c r="Q4" s="2441"/>
      <c r="R4" s="2442"/>
      <c r="S4" s="1214"/>
      <c r="T4" s="1060"/>
      <c r="U4" s="1060"/>
      <c r="V4" s="1060"/>
      <c r="W4" s="1060"/>
      <c r="X4" s="1060"/>
      <c r="Y4" s="1060"/>
      <c r="Z4" s="1060"/>
      <c r="AA4" s="1060"/>
      <c r="AB4" s="1060"/>
      <c r="AC4" s="1060"/>
      <c r="AD4" s="1060"/>
      <c r="AE4" s="852"/>
      <c r="AF4" s="852"/>
      <c r="AG4" s="852"/>
      <c r="AH4" s="852"/>
      <c r="AI4" s="849"/>
    </row>
    <row s="31547" customFormat="1" customHeight="1" ht="17.25">
      <c r="A5" s="1120"/>
      <c r="C5" s="1183"/>
      <c r="D5" s="2499" t="str">
        <f>IF(org=0,"Не определено",org)</f>
        <v>АО "Мурманэнергосбыт"</v>
      </c>
      <c r="E5" s="2500"/>
      <c r="F5" s="2500"/>
      <c r="G5" s="2500"/>
      <c r="H5" s="2500"/>
      <c r="I5" s="2500"/>
      <c r="J5" s="2500"/>
      <c r="K5" s="2500"/>
      <c r="L5" s="2500"/>
      <c r="M5" s="2500"/>
      <c r="N5" s="2500"/>
      <c r="O5" s="2500"/>
      <c r="P5" s="2500"/>
      <c r="Q5" s="2500"/>
      <c r="R5" s="2501"/>
      <c r="S5" s="1214"/>
      <c r="T5" s="1060"/>
      <c r="U5" s="1060"/>
      <c r="V5" s="1060"/>
      <c r="W5" s="1060"/>
      <c r="X5" s="1060"/>
      <c r="Y5" s="1060"/>
      <c r="Z5" s="1060"/>
      <c r="AA5" s="1060"/>
      <c r="AB5" s="1060"/>
      <c r="AC5" s="1060"/>
      <c r="AD5" s="1060"/>
      <c r="AE5" s="852"/>
      <c r="AF5" s="852"/>
      <c r="AG5" s="852"/>
      <c r="AH5" s="852"/>
      <c r="AI5" s="849"/>
      <c r="AJ5" s="872"/>
      <c r="AK5" s="872"/>
      <c r="AL5" s="872"/>
      <c r="AM5" s="872"/>
      <c r="AN5" s="872"/>
      <c r="AO5" s="872"/>
      <c r="AP5" s="872"/>
      <c r="AQ5" s="872"/>
      <c r="AR5" s="872"/>
      <c r="AS5" s="872"/>
    </row>
    <row s="32020" customFormat="1" customHeight="1" ht="11.25">
      <c r="A6" s="840"/>
      <c r="C6" s="847"/>
      <c r="D6" s="846"/>
      <c r="E6" s="846"/>
      <c r="F6" s="846"/>
      <c r="G6" s="846"/>
      <c r="H6" s="846"/>
      <c r="I6" s="846"/>
      <c r="J6" s="846"/>
      <c r="K6" s="846"/>
      <c r="L6" s="846"/>
      <c r="M6" s="846"/>
      <c r="N6" s="846"/>
      <c r="O6" s="846"/>
      <c r="P6" s="846"/>
      <c r="Q6" s="846"/>
      <c r="R6" s="1113"/>
      <c r="S6" s="1113"/>
      <c r="T6" s="846"/>
      <c r="U6" s="846"/>
      <c r="V6" s="1073"/>
      <c r="W6" s="1073"/>
      <c r="X6" s="846"/>
      <c r="Y6" s="846"/>
      <c r="Z6" s="1073"/>
      <c r="AA6" s="1073"/>
      <c r="AB6" s="846"/>
      <c r="AC6" s="1073"/>
      <c r="AD6" s="1073"/>
      <c r="AE6" s="846"/>
      <c r="AF6" s="846"/>
      <c r="AG6" s="846"/>
      <c r="AH6" s="846"/>
      <c r="AJ6" s="850"/>
      <c r="AK6" s="850"/>
      <c r="AL6" s="850"/>
      <c r="AM6" s="850"/>
      <c r="AN6" s="850"/>
      <c r="AO6" s="850"/>
      <c r="AP6" s="850"/>
      <c r="AQ6" s="850"/>
      <c r="AR6" s="850"/>
      <c r="AS6" s="850"/>
    </row>
    <row customHeight="1" ht="14.25">
      <c r="C7" s="811"/>
      <c r="D7" s="2488" t="s">
        <v>341</v>
      </c>
      <c r="E7" s="2503"/>
      <c r="F7" s="2503"/>
      <c r="G7" s="2503"/>
      <c r="H7" s="2503"/>
      <c r="I7" s="2503"/>
      <c r="J7" s="2503"/>
      <c r="K7" s="2503"/>
      <c r="L7" s="2503"/>
      <c r="M7" s="2503"/>
      <c r="N7" s="2503"/>
      <c r="O7" s="2503"/>
      <c r="P7" s="2503"/>
      <c r="Q7" s="2503"/>
      <c r="R7" s="2503"/>
      <c r="S7" s="2503"/>
      <c r="T7" s="2503"/>
      <c r="U7" s="2503"/>
      <c r="V7" s="2503"/>
      <c r="W7" s="2503"/>
      <c r="X7" s="2503"/>
      <c r="Y7" s="2503"/>
      <c r="Z7" s="2503"/>
      <c r="AA7" s="2503"/>
      <c r="AB7" s="2503"/>
      <c r="AC7" s="2503"/>
      <c r="AD7" s="2504"/>
      <c r="AE7" s="2487" t="s">
        <v>342</v>
      </c>
      <c r="AF7" s="2487" t="s">
        <v>342</v>
      </c>
      <c r="AG7" s="2487" t="s">
        <v>342</v>
      </c>
      <c r="AH7" s="2487" t="s">
        <v>342</v>
      </c>
    </row>
    <row customHeight="1" ht="25.5">
      <c r="C8" s="811"/>
      <c r="D8" s="2392" t="s">
        <v>87</v>
      </c>
      <c r="E8" s="2487" t="str">
        <f>"Наименование "&amp;IF(TEMPLATE_SPHERE&lt;&gt;"HEAT","централизованной ","")&amp;"системы "&amp;TEMPLATE_SPHERE_RUS</f>
        <v>Наименование централизованной системы горячего водоснабжения</v>
      </c>
      <c r="F8" s="2487" t="str">
        <f>IF(TEMPLATE_SPHERE&lt;&gt;"HEAT","Регулируемый вид деятельности","Вид регулируемой деятельности")</f>
        <v>Регулируемый вид деятельности</v>
      </c>
      <c r="G8" s="1189"/>
      <c r="H8" s="2493" t="s">
        <v>398</v>
      </c>
      <c r="I8" s="2495" t="s">
        <v>399</v>
      </c>
      <c r="J8" s="2487" t="s">
        <v>400</v>
      </c>
      <c r="K8" s="2487"/>
      <c r="L8" s="2487"/>
      <c r="M8" s="2488"/>
      <c r="N8" s="2487" t="s">
        <v>401</v>
      </c>
      <c r="O8" s="2487"/>
      <c r="P8" s="2487" t="s">
        <v>402</v>
      </c>
      <c r="Q8" s="2487"/>
      <c r="R8" s="2491" t="s">
        <v>403</v>
      </c>
      <c r="S8" s="1185"/>
      <c r="T8" s="2489" t="s">
        <v>404</v>
      </c>
      <c r="U8" s="2489" t="s">
        <v>405</v>
      </c>
      <c r="V8" s="2489" t="s">
        <v>406</v>
      </c>
      <c r="W8" s="1187"/>
      <c r="X8" s="2489" t="s">
        <v>407</v>
      </c>
      <c r="Y8" s="2489" t="s">
        <v>408</v>
      </c>
      <c r="Z8" s="2489" t="s">
        <v>409</v>
      </c>
      <c r="AA8" s="1187"/>
      <c r="AB8" s="2489" t="s">
        <v>410</v>
      </c>
      <c r="AC8" s="2489" t="s">
        <v>403</v>
      </c>
      <c r="AD8" s="1187"/>
      <c r="AE8" s="2487"/>
      <c r="AF8" s="2487"/>
      <c r="AG8" s="2487"/>
      <c r="AH8" s="2487"/>
    </row>
    <row customHeight="1" ht="43.5">
      <c r="C9" s="811"/>
      <c r="D9" s="2392"/>
      <c r="E9" s="2487"/>
      <c r="F9" s="2487"/>
      <c r="G9" s="1190"/>
      <c r="H9" s="2494"/>
      <c r="I9" s="2496"/>
      <c r="J9" s="786" t="s">
        <v>411</v>
      </c>
      <c r="K9" s="786" t="s">
        <v>412</v>
      </c>
      <c r="L9" s="786" t="s">
        <v>413</v>
      </c>
      <c r="M9" s="792" t="s">
        <v>414</v>
      </c>
      <c r="N9" s="786" t="s">
        <v>415</v>
      </c>
      <c r="O9" s="786" t="s">
        <v>414</v>
      </c>
      <c r="P9" s="786" t="s">
        <v>416</v>
      </c>
      <c r="Q9" s="786" t="s">
        <v>414</v>
      </c>
      <c r="R9" s="2492"/>
      <c r="S9" s="1186"/>
      <c r="T9" s="2490"/>
      <c r="U9" s="2490"/>
      <c r="V9" s="2490"/>
      <c r="W9" s="1188"/>
      <c r="X9" s="2490"/>
      <c r="Y9" s="2490"/>
      <c r="Z9" s="2490"/>
      <c r="AA9" s="1188"/>
      <c r="AB9" s="2490"/>
      <c r="AC9" s="2490"/>
      <c r="AD9" s="1188"/>
      <c r="AE9" s="2487"/>
      <c r="AF9" s="2487"/>
      <c r="AG9" s="2487"/>
      <c r="AH9" s="2487"/>
    </row>
    <row customHeight="1" ht="12" hidden="1">
      <c r="C10" s="848"/>
      <c r="D10" s="809"/>
      <c r="E10" s="809"/>
      <c r="F10" s="809"/>
      <c r="G10" s="809"/>
      <c r="H10" s="809"/>
      <c r="I10" s="809"/>
      <c r="J10" s="809"/>
      <c r="K10" s="809"/>
      <c r="L10" s="809"/>
      <c r="M10" s="809"/>
      <c r="N10" s="809"/>
      <c r="O10" s="809"/>
      <c r="P10" s="809"/>
      <c r="Q10" s="809"/>
      <c r="R10" s="809"/>
      <c r="S10" s="809"/>
      <c r="T10" s="809"/>
      <c r="U10" s="809"/>
      <c r="V10" s="809"/>
      <c r="W10" s="809"/>
      <c r="X10" s="809"/>
      <c r="Y10" s="809"/>
      <c r="Z10" s="809"/>
      <c r="AA10" s="809"/>
      <c r="AB10" s="809"/>
      <c r="AC10" s="809"/>
      <c r="AD10" s="809"/>
      <c r="AE10" s="809"/>
      <c r="AF10" s="809"/>
      <c r="AG10" s="809"/>
      <c r="AH10" s="809"/>
      <c r="AI10" s="808"/>
      <c r="AP10" s="861"/>
      <c r="AQ10" s="861"/>
    </row>
    <row s="32049" customFormat="1" customHeight="1" ht="11.25" hidden="1">
      <c r="C11" s="859"/>
      <c r="D11" s="860" t="s">
        <v>417</v>
      </c>
      <c r="E11" s="860"/>
      <c r="F11" s="860"/>
      <c r="G11" s="860"/>
      <c r="H11" s="858"/>
      <c r="I11" s="858"/>
      <c r="J11" s="858"/>
      <c r="K11" s="858"/>
      <c r="L11" s="858"/>
      <c r="M11" s="858"/>
      <c r="N11" s="858"/>
      <c r="O11" s="858"/>
      <c r="P11" s="858"/>
      <c r="Q11" s="858"/>
      <c r="R11" s="858"/>
      <c r="S11" s="858"/>
      <c r="T11" s="858"/>
      <c r="U11" s="858"/>
      <c r="V11" s="858"/>
      <c r="W11" s="858"/>
      <c r="X11" s="858"/>
      <c r="Y11" s="858"/>
      <c r="Z11" s="858"/>
      <c r="AA11" s="858"/>
      <c r="AB11" s="858"/>
      <c r="AC11" s="858"/>
      <c r="AD11" s="858"/>
      <c r="AE11" s="796"/>
      <c r="AF11" s="796"/>
      <c r="AG11" s="796"/>
      <c r="AH11" s="796"/>
      <c r="AJ11" s="850"/>
      <c r="AK11" s="850"/>
      <c r="AL11" s="850"/>
      <c r="AM11" s="850"/>
      <c r="AN11" s="850"/>
      <c r="AO11" s="850"/>
      <c r="AP11" s="850"/>
      <c r="AQ11" s="850"/>
      <c r="AR11" s="850"/>
      <c r="AS11" s="850"/>
    </row>
    <row customHeight="1" ht="14.25">
      <c r="A12" s="808"/>
      <c r="C12" s="811"/>
      <c r="D12" s="795" t="s">
        <v>118</v>
      </c>
      <c r="E12" s="2143" t="s">
        <v>24</v>
      </c>
      <c r="F12" s="1216"/>
      <c r="G12" s="1217"/>
      <c r="H12" s="2144"/>
      <c r="I12" s="2144"/>
      <c r="J12" s="794"/>
      <c r="K12" s="2230"/>
      <c r="L12" s="793"/>
      <c r="M12" s="2230"/>
      <c r="N12" s="794"/>
      <c r="O12" s="2230"/>
      <c r="P12" s="794"/>
      <c r="Q12" s="2230"/>
      <c r="R12" s="794"/>
      <c r="S12" s="1215"/>
      <c r="T12" s="2144"/>
      <c r="U12" s="794"/>
      <c r="V12" s="794"/>
      <c r="W12" s="1188"/>
      <c r="X12" s="2144"/>
      <c r="Y12" s="794"/>
      <c r="Z12" s="794"/>
      <c r="AA12" s="1188"/>
      <c r="AB12" s="2144"/>
      <c r="AC12" s="794"/>
      <c r="AD12" s="1188"/>
      <c r="AE12" s="2497" t="s">
        <v>418</v>
      </c>
      <c r="AF12" s="2497" t="s">
        <v>419</v>
      </c>
      <c r="AG12" s="2497" t="s">
        <v>420</v>
      </c>
      <c r="AH12" s="2497" t="s">
        <v>421</v>
      </c>
      <c r="AI12" s="808"/>
      <c r="AM12" s="872"/>
      <c r="AP12" s="861" t="s">
        <v>422</v>
      </c>
      <c r="AQ12" s="861" t="s">
        <v>422</v>
      </c>
    </row>
    <row customHeight="1" ht="17.25">
      <c r="A13" s="808"/>
      <c r="C13" s="811"/>
      <c r="D13" s="766"/>
      <c r="E13" s="1230" t="str">
        <f>IF(TITLE_DIFFERENTIATION_TYPE="нет","","Добавить систему")</f>
        <v/>
      </c>
      <c r="F13" s="1230" t="str">
        <f>IF(TITLE_DIFFERENTIATION_TYPE="нет","Добавить вид деятельности","")</f>
        <v>Добавить вид деятельности</v>
      </c>
      <c r="G13" s="674"/>
      <c r="H13" s="767"/>
      <c r="I13" s="767"/>
      <c r="J13" s="767"/>
      <c r="K13" s="767"/>
      <c r="L13" s="767"/>
      <c r="M13" s="767"/>
      <c r="N13" s="767"/>
      <c r="O13" s="767"/>
      <c r="P13" s="767"/>
      <c r="Q13" s="767"/>
      <c r="R13" s="767"/>
      <c r="S13" s="767"/>
      <c r="T13" s="767"/>
      <c r="U13" s="767"/>
      <c r="V13" s="767"/>
      <c r="W13" s="767"/>
      <c r="X13" s="767"/>
      <c r="Y13" s="767"/>
      <c r="Z13" s="767"/>
      <c r="AA13" s="767"/>
      <c r="AB13" s="767"/>
      <c r="AC13" s="767"/>
      <c r="AD13" s="1218"/>
      <c r="AE13" s="2498"/>
      <c r="AF13" s="2498"/>
      <c r="AG13" s="2498"/>
      <c r="AH13" s="2498"/>
      <c r="AI13" s="808"/>
    </row>
    <row customHeight="1" ht="14.25">
      <c r="AI14" s="808"/>
    </row>
    <row customHeight="1" ht="14.25">
      <c r="E15" s="1119"/>
      <c r="L15" s="1119"/>
    </row>
    <row customHeight="1" ht="14.25">
      <c r="L16" s="1119"/>
    </row>
    <row customHeight="1" ht="14.25">
      <c r="L17" s="1119"/>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EACBB-F7DE-DF17-F8C2-78A1992C4AD2}"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38123" width="9.140625"/>
    <col min="2" max="2" style="38123" width="65.28125" customWidth="1"/>
  </cols>
  <sheetData>
    <row customHeight="1" ht="11.25">
      <c r="A1" s="1196" t="s">
        <v>2715</v>
      </c>
      <c r="B1" s="1196" t="s">
        <v>2717</v>
      </c>
    </row>
    <row customHeight="1" ht="11.25">
      <c r="A2" s="1196" t="s">
        <v>2718</v>
      </c>
      <c r="B2" s="1196" t="s">
        <v>1471</v>
      </c>
    </row>
    <row customHeight="1" ht="11.25">
      <c r="A3" s="1196" t="s">
        <v>2719</v>
      </c>
      <c r="B3" s="1196" t="s">
        <v>1481</v>
      </c>
    </row>
    <row customHeight="1" ht="11.25">
      <c r="A4" s="1196" t="s">
        <v>2720</v>
      </c>
      <c r="B4" s="1196" t="s">
        <v>1490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81CBF-3A59-CBE1-D065-3ED9A6C1AB3D}" mc:Ignorable="x14ac xr xr2 xr3">
  <sheetPr>
    <tabColor rgb="FFFFCC99"/>
  </sheetPr>
  <dimension ref="A1:G46"/>
  <sheetViews>
    <sheetView topLeftCell="A1" showGridLines="0" workbookViewId="0">
      <selection activeCell="A1" sqref="A1"/>
    </sheetView>
  </sheetViews>
  <sheetFormatPr customHeight="1" defaultRowHeight="11.25"/>
  <sheetData>
    <row customHeight="1" ht="11.25">
      <c r="A1" s="734" t="s">
        <v>2601</v>
      </c>
      <c r="B1" s="734" t="s">
        <v>2602</v>
      </c>
      <c r="C1" s="734" t="s">
        <v>2603</v>
      </c>
      <c r="D1" s="734" t="s">
        <v>2604</v>
      </c>
      <c r="E1" s="0" t="s">
        <v>2605</v>
      </c>
      <c r="F1" s="0" t="s">
        <v>2606</v>
      </c>
      <c r="G1" s="0" t="s">
        <v>2607</v>
      </c>
    </row>
    <row customHeight="1" ht="11.25">
      <c r="A2" s="0" t="s">
        <v>14</v>
      </c>
      <c r="B2" s="0" t="s">
        <v>2608</v>
      </c>
      <c r="C2" s="0" t="s">
        <v>2609</v>
      </c>
      <c r="D2" s="0" t="s">
        <v>2608</v>
      </c>
      <c r="E2" s="0" t="s">
        <v>2609</v>
      </c>
      <c r="F2" s="0" t="s">
        <v>2610</v>
      </c>
      <c r="G2" s="0" t="s">
        <v>118</v>
      </c>
    </row>
    <row customHeight="1" ht="11.25">
      <c r="A3" s="0" t="s">
        <v>14</v>
      </c>
      <c r="B3" s="0" t="s">
        <v>2611</v>
      </c>
      <c r="C3" s="0" t="s">
        <v>2612</v>
      </c>
      <c r="D3" s="0" t="s">
        <v>2611</v>
      </c>
      <c r="E3" s="0" t="s">
        <v>2612</v>
      </c>
      <c r="F3" s="0" t="s">
        <v>2610</v>
      </c>
      <c r="G3" s="0" t="s">
        <v>102</v>
      </c>
    </row>
    <row customHeight="1" ht="11.25">
      <c r="A4" s="0" t="s">
        <v>14</v>
      </c>
      <c r="B4" s="0" t="s">
        <v>2613</v>
      </c>
      <c r="C4" s="0" t="s">
        <v>2614</v>
      </c>
      <c r="D4" s="0" t="s">
        <v>2613</v>
      </c>
      <c r="E4" s="0" t="s">
        <v>2614</v>
      </c>
      <c r="F4" s="0" t="s">
        <v>2610</v>
      </c>
      <c r="G4" s="0" t="s">
        <v>89</v>
      </c>
    </row>
    <row customHeight="1" ht="11.25">
      <c r="A5" s="0" t="s">
        <v>14</v>
      </c>
      <c r="B5" s="0" t="s">
        <v>2615</v>
      </c>
      <c r="C5" s="0" t="s">
        <v>2616</v>
      </c>
      <c r="D5" s="0" t="s">
        <v>2615</v>
      </c>
      <c r="E5" s="0" t="s">
        <v>2616</v>
      </c>
      <c r="F5" s="0" t="s">
        <v>2610</v>
      </c>
      <c r="G5" s="0" t="s">
        <v>90</v>
      </c>
    </row>
    <row customHeight="1" ht="11.25">
      <c r="A6" s="0" t="s">
        <v>14</v>
      </c>
      <c r="B6" s="0" t="s">
        <v>2617</v>
      </c>
      <c r="C6" s="0" t="s">
        <v>2618</v>
      </c>
      <c r="D6" s="0" t="s">
        <v>2617</v>
      </c>
      <c r="E6" s="0" t="s">
        <v>2618</v>
      </c>
      <c r="F6" s="0" t="s">
        <v>2610</v>
      </c>
      <c r="G6" s="0" t="s">
        <v>119</v>
      </c>
    </row>
    <row customHeight="1" ht="11.25">
      <c r="A7" s="0" t="s">
        <v>14</v>
      </c>
      <c r="B7" s="0" t="s">
        <v>2619</v>
      </c>
      <c r="C7" s="0" t="s">
        <v>2620</v>
      </c>
      <c r="D7" s="0" t="s">
        <v>2619</v>
      </c>
      <c r="E7" s="0" t="s">
        <v>2620</v>
      </c>
      <c r="F7" s="0" t="s">
        <v>2610</v>
      </c>
      <c r="G7" s="0" t="s">
        <v>91</v>
      </c>
    </row>
    <row customHeight="1" ht="11.25">
      <c r="A8" s="0" t="s">
        <v>14</v>
      </c>
      <c r="B8" s="0" t="s">
        <v>2621</v>
      </c>
      <c r="C8" s="0" t="s">
        <v>2622</v>
      </c>
      <c r="D8" s="0" t="s">
        <v>2621</v>
      </c>
      <c r="E8" s="0" t="s">
        <v>2622</v>
      </c>
      <c r="F8" s="0" t="s">
        <v>2610</v>
      </c>
      <c r="G8" s="0" t="s">
        <v>92</v>
      </c>
    </row>
    <row customHeight="1" ht="11.25">
      <c r="A9" s="0" t="s">
        <v>14</v>
      </c>
      <c r="B9" s="0" t="s">
        <v>2623</v>
      </c>
      <c r="C9" s="0" t="s">
        <v>2624</v>
      </c>
      <c r="D9" s="0" t="s">
        <v>2623</v>
      </c>
      <c r="E9" s="0" t="s">
        <v>2624</v>
      </c>
      <c r="F9" s="0" t="s">
        <v>2610</v>
      </c>
      <c r="G9" s="0" t="s">
        <v>120</v>
      </c>
    </row>
    <row customHeight="1" ht="11.25">
      <c r="A10" s="0" t="s">
        <v>14</v>
      </c>
      <c r="B10" s="0" t="s">
        <v>2625</v>
      </c>
      <c r="C10" s="0" t="s">
        <v>2626</v>
      </c>
      <c r="D10" s="0" t="s">
        <v>2625</v>
      </c>
      <c r="E10" s="0" t="s">
        <v>2626</v>
      </c>
      <c r="F10" s="0" t="s">
        <v>2610</v>
      </c>
      <c r="G10" s="0" t="s">
        <v>156</v>
      </c>
    </row>
    <row customHeight="1" ht="11.25">
      <c r="A11" s="0" t="s">
        <v>14</v>
      </c>
      <c r="B11" s="0" t="s">
        <v>2627</v>
      </c>
      <c r="C11" s="0" t="s">
        <v>2628</v>
      </c>
      <c r="D11" s="0" t="s">
        <v>2627</v>
      </c>
      <c r="E11" s="0" t="s">
        <v>2628</v>
      </c>
      <c r="F11" s="0" t="s">
        <v>2610</v>
      </c>
      <c r="G11" s="0" t="s">
        <v>157</v>
      </c>
    </row>
    <row customHeight="1" ht="11.25">
      <c r="A12" s="0" t="s">
        <v>14</v>
      </c>
      <c r="B12" s="0" t="s">
        <v>106</v>
      </c>
      <c r="C12" s="0" t="s">
        <v>111</v>
      </c>
      <c r="D12" s="0" t="s">
        <v>2630</v>
      </c>
      <c r="E12" s="0" t="s">
        <v>2631</v>
      </c>
      <c r="F12" s="0" t="s">
        <v>2632</v>
      </c>
      <c r="G12" s="0" t="s">
        <v>158</v>
      </c>
    </row>
    <row customHeight="1" ht="11.25">
      <c r="A13" s="0" t="s">
        <v>14</v>
      </c>
      <c r="B13" s="0" t="s">
        <v>106</v>
      </c>
      <c r="C13" s="0" t="s">
        <v>111</v>
      </c>
      <c r="D13" s="0" t="s">
        <v>2633</v>
      </c>
      <c r="E13" s="0" t="s">
        <v>2634</v>
      </c>
      <c r="F13" s="0" t="s">
        <v>2629</v>
      </c>
      <c r="G13" s="0" t="s">
        <v>159</v>
      </c>
    </row>
    <row customHeight="1" ht="11.25">
      <c r="A14" s="0" t="s">
        <v>14</v>
      </c>
      <c r="B14" s="0" t="s">
        <v>106</v>
      </c>
      <c r="C14" s="0" t="s">
        <v>111</v>
      </c>
      <c r="D14" s="0" t="s">
        <v>106</v>
      </c>
      <c r="E14" s="0" t="s">
        <v>111</v>
      </c>
      <c r="F14" s="0" t="s">
        <v>2635</v>
      </c>
      <c r="G14" s="0" t="s">
        <v>110</v>
      </c>
    </row>
    <row customHeight="1" ht="11.25">
      <c r="A15" s="0" t="s">
        <v>14</v>
      </c>
      <c r="B15" s="0" t="s">
        <v>106</v>
      </c>
      <c r="C15" s="0" t="s">
        <v>111</v>
      </c>
      <c r="D15" s="0" t="s">
        <v>2636</v>
      </c>
      <c r="E15" s="0" t="s">
        <v>2637</v>
      </c>
      <c r="F15" s="0" t="s">
        <v>2638</v>
      </c>
      <c r="G15" s="0" t="s">
        <v>1433</v>
      </c>
    </row>
    <row customHeight="1" ht="11.25">
      <c r="A16" s="0" t="s">
        <v>14</v>
      </c>
      <c r="B16" s="0" t="s">
        <v>2640</v>
      </c>
      <c r="C16" s="0" t="s">
        <v>2641</v>
      </c>
      <c r="D16" s="0" t="s">
        <v>2640</v>
      </c>
      <c r="E16" s="0" t="s">
        <v>2641</v>
      </c>
      <c r="F16" s="0" t="s">
        <v>2610</v>
      </c>
      <c r="G16" s="0" t="s">
        <v>1449</v>
      </c>
    </row>
    <row customHeight="1" ht="11.25">
      <c r="A17" s="0" t="s">
        <v>14</v>
      </c>
      <c r="B17" s="0" t="s">
        <v>2642</v>
      </c>
      <c r="C17" s="0" t="s">
        <v>2643</v>
      </c>
      <c r="D17" s="0" t="s">
        <v>2642</v>
      </c>
      <c r="E17" s="0" t="s">
        <v>2643</v>
      </c>
      <c r="F17" s="0" t="s">
        <v>2635</v>
      </c>
      <c r="G17" s="0" t="s">
        <v>1463</v>
      </c>
    </row>
    <row customHeight="1" ht="11.25">
      <c r="A18" s="0" t="s">
        <v>14</v>
      </c>
      <c r="B18" s="0" t="s">
        <v>2642</v>
      </c>
      <c r="C18" s="0" t="s">
        <v>2643</v>
      </c>
      <c r="D18" s="0" t="s">
        <v>2644</v>
      </c>
      <c r="E18" s="0" t="s">
        <v>2645</v>
      </c>
      <c r="F18" s="0" t="s">
        <v>2629</v>
      </c>
      <c r="G18" s="0" t="s">
        <v>1475</v>
      </c>
    </row>
    <row customHeight="1" ht="11.25">
      <c r="A19" s="0" t="s">
        <v>14</v>
      </c>
      <c r="B19" s="0" t="s">
        <v>2642</v>
      </c>
      <c r="C19" s="0" t="s">
        <v>2643</v>
      </c>
      <c r="D19" s="0" t="s">
        <v>2646</v>
      </c>
      <c r="E19" s="0" t="s">
        <v>2647</v>
      </c>
      <c r="F19" s="0" t="s">
        <v>2638</v>
      </c>
      <c r="G19" s="0" t="s">
        <v>1484</v>
      </c>
    </row>
    <row customHeight="1" ht="11.25">
      <c r="A20" s="0" t="s">
        <v>14</v>
      </c>
      <c r="B20" s="0" t="s">
        <v>2642</v>
      </c>
      <c r="C20" s="0" t="s">
        <v>2643</v>
      </c>
      <c r="D20" s="0" t="s">
        <v>2648</v>
      </c>
      <c r="E20" s="0" t="s">
        <v>2649</v>
      </c>
      <c r="F20" s="0" t="s">
        <v>2638</v>
      </c>
      <c r="G20" s="0" t="s">
        <v>1500</v>
      </c>
    </row>
    <row customHeight="1" ht="11.25">
      <c r="A21" s="0" t="s">
        <v>14</v>
      </c>
      <c r="B21" s="0" t="s">
        <v>2642</v>
      </c>
      <c r="C21" s="0" t="s">
        <v>2643</v>
      </c>
      <c r="D21" s="0" t="s">
        <v>2650</v>
      </c>
      <c r="E21" s="0" t="s">
        <v>2651</v>
      </c>
      <c r="F21" s="0" t="s">
        <v>2638</v>
      </c>
      <c r="G21" s="0" t="s">
        <v>1507</v>
      </c>
    </row>
    <row customHeight="1" ht="11.25">
      <c r="A22" s="0" t="s">
        <v>14</v>
      </c>
      <c r="B22" s="0" t="s">
        <v>2642</v>
      </c>
      <c r="C22" s="0" t="s">
        <v>2643</v>
      </c>
      <c r="D22" s="0" t="s">
        <v>2652</v>
      </c>
      <c r="E22" s="0" t="s">
        <v>2653</v>
      </c>
      <c r="F22" s="0" t="s">
        <v>2638</v>
      </c>
      <c r="G22" s="0" t="s">
        <v>1515</v>
      </c>
    </row>
    <row customHeight="1" ht="11.25">
      <c r="A23" s="0" t="s">
        <v>14</v>
      </c>
      <c r="B23" s="0" t="s">
        <v>2642</v>
      </c>
      <c r="C23" s="0" t="s">
        <v>2643</v>
      </c>
      <c r="D23" s="0" t="s">
        <v>2654</v>
      </c>
      <c r="E23" s="0" t="s">
        <v>2655</v>
      </c>
      <c r="F23" s="0" t="s">
        <v>2629</v>
      </c>
      <c r="G23" s="0" t="s">
        <v>1522</v>
      </c>
    </row>
    <row customHeight="1" ht="11.25">
      <c r="A24" s="0" t="s">
        <v>14</v>
      </c>
      <c r="B24" s="0" t="s">
        <v>2642</v>
      </c>
      <c r="C24" s="0" t="s">
        <v>2643</v>
      </c>
      <c r="D24" s="0" t="s">
        <v>2656</v>
      </c>
      <c r="E24" s="0" t="s">
        <v>2657</v>
      </c>
      <c r="F24" s="0" t="s">
        <v>2629</v>
      </c>
      <c r="G24" s="0" t="s">
        <v>1526</v>
      </c>
    </row>
    <row customHeight="1" ht="11.25">
      <c r="A25" s="0" t="s">
        <v>14</v>
      </c>
      <c r="B25" s="0" t="s">
        <v>2642</v>
      </c>
      <c r="C25" s="0" t="s">
        <v>2643</v>
      </c>
      <c r="D25" s="0" t="s">
        <v>2658</v>
      </c>
      <c r="E25" s="0" t="s">
        <v>2659</v>
      </c>
      <c r="F25" s="0" t="s">
        <v>2629</v>
      </c>
      <c r="G25" s="0" t="s">
        <v>1531</v>
      </c>
    </row>
    <row customHeight="1" ht="11.25">
      <c r="A26" s="0" t="s">
        <v>14</v>
      </c>
      <c r="B26" s="0" t="s">
        <v>2642</v>
      </c>
      <c r="C26" s="0" t="s">
        <v>2643</v>
      </c>
      <c r="D26" s="0" t="s">
        <v>2660</v>
      </c>
      <c r="E26" s="0" t="s">
        <v>2661</v>
      </c>
      <c r="F26" s="0" t="s">
        <v>2632</v>
      </c>
      <c r="G26" s="0" t="s">
        <v>1539</v>
      </c>
    </row>
    <row customHeight="1" ht="11.25">
      <c r="A27" s="0" t="s">
        <v>14</v>
      </c>
      <c r="B27" s="0" t="s">
        <v>2642</v>
      </c>
      <c r="C27" s="0" t="s">
        <v>2643</v>
      </c>
      <c r="D27" s="0" t="s">
        <v>2662</v>
      </c>
      <c r="E27" s="0" t="s">
        <v>2663</v>
      </c>
      <c r="F27" s="0" t="s">
        <v>2638</v>
      </c>
      <c r="G27" s="0" t="s">
        <v>1541</v>
      </c>
    </row>
    <row customHeight="1" ht="11.25">
      <c r="A28" s="0" t="s">
        <v>14</v>
      </c>
      <c r="B28" s="0" t="s">
        <v>2642</v>
      </c>
      <c r="C28" s="0" t="s">
        <v>2643</v>
      </c>
      <c r="D28" s="0" t="s">
        <v>2664</v>
      </c>
      <c r="E28" s="0" t="s">
        <v>2665</v>
      </c>
      <c r="F28" s="0" t="s">
        <v>2629</v>
      </c>
      <c r="G28" s="0" t="s">
        <v>1544</v>
      </c>
    </row>
    <row customHeight="1" ht="11.25">
      <c r="A29" s="0" t="s">
        <v>14</v>
      </c>
      <c r="B29" s="0" t="s">
        <v>2666</v>
      </c>
      <c r="C29" s="0" t="s">
        <v>2667</v>
      </c>
      <c r="D29" s="0" t="s">
        <v>2666</v>
      </c>
      <c r="E29" s="0" t="s">
        <v>2667</v>
      </c>
      <c r="F29" s="0" t="s">
        <v>2635</v>
      </c>
      <c r="G29" s="0" t="s">
        <v>1549</v>
      </c>
    </row>
    <row customHeight="1" ht="11.25">
      <c r="A30" s="0" t="s">
        <v>14</v>
      </c>
      <c r="B30" s="0" t="s">
        <v>2666</v>
      </c>
      <c r="C30" s="0" t="s">
        <v>2667</v>
      </c>
      <c r="D30" s="0" t="s">
        <v>2668</v>
      </c>
      <c r="E30" s="0" t="s">
        <v>2669</v>
      </c>
      <c r="F30" s="0" t="s">
        <v>2638</v>
      </c>
      <c r="G30" s="0" t="s">
        <v>1551</v>
      </c>
    </row>
    <row customHeight="1" ht="11.25">
      <c r="A31" s="0" t="s">
        <v>14</v>
      </c>
      <c r="B31" s="0" t="s">
        <v>2666</v>
      </c>
      <c r="C31" s="0" t="s">
        <v>2667</v>
      </c>
      <c r="D31" s="0" t="s">
        <v>2670</v>
      </c>
      <c r="E31" s="0" t="s">
        <v>2671</v>
      </c>
      <c r="F31" s="0" t="s">
        <v>2629</v>
      </c>
      <c r="G31" s="0" t="s">
        <v>1553</v>
      </c>
    </row>
    <row customHeight="1" ht="11.25">
      <c r="A32" s="0" t="s">
        <v>14</v>
      </c>
      <c r="B32" s="0" t="s">
        <v>2672</v>
      </c>
      <c r="C32" s="0" t="s">
        <v>2673</v>
      </c>
      <c r="D32" s="0" t="s">
        <v>2672</v>
      </c>
      <c r="E32" s="0" t="s">
        <v>2673</v>
      </c>
      <c r="F32" s="0" t="s">
        <v>2639</v>
      </c>
      <c r="G32" s="0" t="s">
        <v>1555</v>
      </c>
    </row>
    <row customHeight="1" ht="11.25">
      <c r="A33" s="0" t="s">
        <v>14</v>
      </c>
      <c r="B33" s="0" t="s">
        <v>2674</v>
      </c>
      <c r="C33" s="0" t="s">
        <v>2675</v>
      </c>
      <c r="D33" s="0" t="s">
        <v>2676</v>
      </c>
      <c r="E33" s="0" t="s">
        <v>2677</v>
      </c>
      <c r="F33" s="0" t="s">
        <v>2632</v>
      </c>
      <c r="G33" s="0" t="s">
        <v>1560</v>
      </c>
    </row>
    <row customHeight="1" ht="11.25">
      <c r="A34" s="0" t="s">
        <v>14</v>
      </c>
      <c r="B34" s="0" t="s">
        <v>2674</v>
      </c>
      <c r="C34" s="0" t="s">
        <v>2675</v>
      </c>
      <c r="D34" s="0" t="s">
        <v>2674</v>
      </c>
      <c r="E34" s="0" t="s">
        <v>2675</v>
      </c>
      <c r="F34" s="0" t="s">
        <v>2635</v>
      </c>
      <c r="G34" s="0" t="s">
        <v>1565</v>
      </c>
    </row>
    <row customHeight="1" ht="11.25">
      <c r="A35" s="0" t="s">
        <v>14</v>
      </c>
      <c r="B35" s="0" t="s">
        <v>2674</v>
      </c>
      <c r="C35" s="0" t="s">
        <v>2675</v>
      </c>
      <c r="D35" s="0" t="s">
        <v>2678</v>
      </c>
      <c r="E35" s="0" t="s">
        <v>2679</v>
      </c>
      <c r="F35" s="0" t="s">
        <v>2638</v>
      </c>
      <c r="G35" s="0" t="s">
        <v>1569</v>
      </c>
    </row>
    <row customHeight="1" ht="11.25">
      <c r="A36" s="0" t="s">
        <v>14</v>
      </c>
      <c r="B36" s="0" t="s">
        <v>2674</v>
      </c>
      <c r="C36" s="0" t="s">
        <v>2675</v>
      </c>
      <c r="D36" s="0" t="s">
        <v>2680</v>
      </c>
      <c r="E36" s="0" t="s">
        <v>2681</v>
      </c>
      <c r="F36" s="0" t="s">
        <v>2638</v>
      </c>
      <c r="G36" s="0" t="s">
        <v>1576</v>
      </c>
    </row>
    <row customHeight="1" ht="11.25">
      <c r="A37" s="0" t="s">
        <v>14</v>
      </c>
      <c r="B37" s="0" t="s">
        <v>2674</v>
      </c>
      <c r="C37" s="0" t="s">
        <v>2675</v>
      </c>
      <c r="D37" s="0" t="s">
        <v>2682</v>
      </c>
      <c r="E37" s="0" t="s">
        <v>2683</v>
      </c>
      <c r="F37" s="0" t="s">
        <v>2629</v>
      </c>
      <c r="G37" s="0" t="s">
        <v>1582</v>
      </c>
    </row>
    <row customHeight="1" ht="11.25">
      <c r="A38" s="0" t="s">
        <v>14</v>
      </c>
      <c r="B38" s="0" t="s">
        <v>2684</v>
      </c>
      <c r="C38" s="0" t="s">
        <v>2685</v>
      </c>
      <c r="D38" s="0" t="s">
        <v>2686</v>
      </c>
      <c r="E38" s="0" t="s">
        <v>2687</v>
      </c>
      <c r="F38" s="0" t="s">
        <v>2629</v>
      </c>
      <c r="G38" s="0" t="s">
        <v>1587</v>
      </c>
    </row>
    <row customHeight="1" ht="11.25">
      <c r="A39" s="0" t="s">
        <v>14</v>
      </c>
      <c r="B39" s="0" t="s">
        <v>2684</v>
      </c>
      <c r="C39" s="0" t="s">
        <v>2685</v>
      </c>
      <c r="D39" s="0" t="s">
        <v>2688</v>
      </c>
      <c r="E39" s="0" t="s">
        <v>2689</v>
      </c>
      <c r="F39" s="0" t="s">
        <v>2638</v>
      </c>
      <c r="G39" s="0" t="s">
        <v>1591</v>
      </c>
    </row>
    <row customHeight="1" ht="11.25">
      <c r="A40" s="0" t="s">
        <v>14</v>
      </c>
      <c r="B40" s="0" t="s">
        <v>2684</v>
      </c>
      <c r="C40" s="0" t="s">
        <v>2685</v>
      </c>
      <c r="D40" s="0" t="s">
        <v>2684</v>
      </c>
      <c r="E40" s="0" t="s">
        <v>2685</v>
      </c>
      <c r="F40" s="0" t="s">
        <v>2635</v>
      </c>
      <c r="G40" s="0" t="s">
        <v>1594</v>
      </c>
    </row>
    <row customHeight="1" ht="11.25">
      <c r="A41" s="0" t="s">
        <v>14</v>
      </c>
      <c r="B41" s="0" t="s">
        <v>2690</v>
      </c>
      <c r="C41" s="0" t="s">
        <v>2691</v>
      </c>
      <c r="D41" s="0" t="s">
        <v>2690</v>
      </c>
      <c r="E41" s="0" t="s">
        <v>2691</v>
      </c>
      <c r="F41" s="0" t="s">
        <v>2639</v>
      </c>
      <c r="G41" s="0" t="s">
        <v>1601</v>
      </c>
    </row>
    <row customHeight="1" ht="11.25">
      <c r="A42" s="0" t="s">
        <v>14</v>
      </c>
      <c r="B42" s="0" t="s">
        <v>2692</v>
      </c>
      <c r="C42" s="0" t="s">
        <v>2693</v>
      </c>
      <c r="D42" s="0" t="s">
        <v>2692</v>
      </c>
      <c r="E42" s="0" t="s">
        <v>2693</v>
      </c>
      <c r="F42" s="0" t="s">
        <v>2639</v>
      </c>
      <c r="G42" s="0" t="s">
        <v>1610</v>
      </c>
    </row>
    <row customHeight="1" ht="11.25">
      <c r="A43" s="0" t="s">
        <v>14</v>
      </c>
      <c r="B43" s="0" t="s">
        <v>2694</v>
      </c>
      <c r="C43" s="0" t="s">
        <v>2695</v>
      </c>
      <c r="D43" s="0" t="s">
        <v>2694</v>
      </c>
      <c r="E43" s="0" t="s">
        <v>2695</v>
      </c>
      <c r="F43" s="0" t="s">
        <v>2639</v>
      </c>
      <c r="G43" s="0" t="s">
        <v>1615</v>
      </c>
    </row>
    <row customHeight="1" ht="11.25">
      <c r="A44" s="0" t="s">
        <v>14</v>
      </c>
      <c r="B44" s="0" t="s">
        <v>2696</v>
      </c>
      <c r="C44" s="0" t="s">
        <v>2697</v>
      </c>
      <c r="D44" s="0" t="s">
        <v>2696</v>
      </c>
      <c r="E44" s="0" t="s">
        <v>2697</v>
      </c>
      <c r="F44" s="0" t="s">
        <v>2639</v>
      </c>
      <c r="G44" s="0" t="s">
        <v>1619</v>
      </c>
    </row>
    <row customHeight="1" ht="11.25">
      <c r="A45" s="0" t="s">
        <v>14</v>
      </c>
      <c r="B45" s="0" t="s">
        <v>2698</v>
      </c>
      <c r="C45" s="0" t="s">
        <v>2699</v>
      </c>
      <c r="D45" s="0" t="s">
        <v>2698</v>
      </c>
      <c r="E45" s="0" t="s">
        <v>2699</v>
      </c>
      <c r="F45" s="0" t="s">
        <v>2639</v>
      </c>
      <c r="G45" s="0" t="s">
        <v>1625</v>
      </c>
    </row>
    <row customHeight="1" ht="11.25">
      <c r="A46" s="0" t="s">
        <v>14</v>
      </c>
      <c r="B46" s="0" t="s">
        <v>2700</v>
      </c>
      <c r="C46" s="0" t="s">
        <v>2701</v>
      </c>
      <c r="D46" s="0" t="s">
        <v>2700</v>
      </c>
      <c r="E46" s="0" t="s">
        <v>2701</v>
      </c>
      <c r="F46" s="0" t="s">
        <v>2610</v>
      </c>
      <c r="G46" s="0" t="s">
        <v>1630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38068C-BAA4-75EA-2A0D-A3846A9D7A2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38123" width="9.140625"/>
    <col min="2" max="2" style="38123" width="84.28125" customWidth="1"/>
    <col min="3" max="3" style="38123" width="9.140625"/>
  </cols>
  <sheetData>
    <row customHeight="1" ht="11.25">
      <c r="A1" s="1196" t="s">
        <v>2721</v>
      </c>
      <c r="B1" s="1196" t="s">
        <v>2722</v>
      </c>
      <c r="C1" s="1196" t="s">
        <v>1136</v>
      </c>
    </row>
    <row customHeight="1" ht="11.25">
      <c r="A2" s="1196">
        <v>4189678</v>
      </c>
      <c r="B2" s="1196" t="s">
        <v>2723</v>
      </c>
      <c r="C2" s="1196" t="s">
        <v>2724</v>
      </c>
    </row>
    <row customHeight="1" ht="11.25">
      <c r="A3" s="1196">
        <v>4190415</v>
      </c>
      <c r="B3" s="1196" t="s">
        <v>2725</v>
      </c>
      <c r="C3" s="1196" t="s">
        <v>2724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612E7-B4B8-D846-72E6-77F4A9D043A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38126" width="38.421875" customWidth="1"/>
    <col min="2" max="5" style="38126" width="9.140625"/>
  </cols>
  <sheetData>
    <row customHeight="1" ht="15">
      <c r="A1" s="525" t="s">
        <v>2726</v>
      </c>
      <c r="B1" s="525" t="s">
        <v>2727</v>
      </c>
      <c r="C1" s="525"/>
      <c r="D1" s="525"/>
      <c r="E1" s="525"/>
    </row>
    <row customHeight="1" ht="15">
      <c r="A2" s="525"/>
      <c r="B2" s="525"/>
      <c r="C2" s="525"/>
      <c r="D2" s="525"/>
      <c r="E2" s="525"/>
    </row>
    <row customHeight="1" ht="15">
      <c r="A3" s="525"/>
      <c r="B3" s="525"/>
      <c r="C3" s="525"/>
      <c r="D3" s="525"/>
      <c r="E3" s="525"/>
    </row>
    <row customHeight="1" ht="15">
      <c r="A4" s="525"/>
      <c r="B4" s="525"/>
      <c r="C4" s="525"/>
      <c r="D4" s="525"/>
      <c r="E4" s="525"/>
    </row>
    <row customHeight="1" ht="15">
      <c r="A5" s="525"/>
      <c r="B5" s="525"/>
      <c r="C5" s="525"/>
      <c r="D5" s="525"/>
      <c r="E5" s="525"/>
    </row>
    <row customHeight="1" ht="15">
      <c r="A6" s="525"/>
      <c r="B6" s="525"/>
      <c r="C6" s="525"/>
      <c r="D6" s="525"/>
      <c r="E6" s="525"/>
    </row>
    <row customHeight="1" ht="15">
      <c r="A7" s="525"/>
      <c r="B7" s="525"/>
      <c r="C7" s="525"/>
      <c r="D7" s="525"/>
      <c r="E7" s="525"/>
    </row>
    <row customHeight="1" ht="15">
      <c r="A8" s="525"/>
      <c r="B8" s="525"/>
      <c r="C8" s="525"/>
      <c r="D8" s="525"/>
      <c r="E8" s="52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18C84-932A-3A4B-AAFE-B8889A120D2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2728</v>
      </c>
      <c r="B1" s="0" t="b">
        <v>1</v>
      </c>
    </row>
    <row customHeight="1" ht="11.25">
      <c r="A2" s="0" t="s">
        <v>2729</v>
      </c>
      <c r="B2" s="0" t="b">
        <v>0</v>
      </c>
    </row>
    <row customHeight="1" ht="11.25">
      <c r="A3" s="0" t="s">
        <v>2730</v>
      </c>
      <c r="B3" s="0" t="b">
        <v>0</v>
      </c>
    </row>
    <row customHeight="1" ht="11.25">
      <c r="A4" s="0" t="s">
        <v>2731</v>
      </c>
      <c r="B4" s="0" t="b">
        <v>0</v>
      </c>
    </row>
    <row customHeight="1" ht="11.25">
      <c r="A5" s="0" t="s">
        <v>2732</v>
      </c>
      <c r="B5" s="0" t="b">
        <v>0</v>
      </c>
    </row>
    <row customHeight="1" ht="11.25">
      <c r="A6" s="0" t="s">
        <v>2733</v>
      </c>
      <c r="B6" s="0" t="b">
        <v>1</v>
      </c>
    </row>
    <row customHeight="1" ht="11.25">
      <c r="A7" s="0" t="s">
        <v>2734</v>
      </c>
      <c r="B7" s="0" t="b">
        <v>0</v>
      </c>
    </row>
    <row customHeight="1" ht="11.25">
      <c r="A8" s="0" t="s">
        <v>2735</v>
      </c>
      <c r="B8" s="0" t="b">
        <v>0</v>
      </c>
    </row>
    <row customHeight="1" ht="11.25">
      <c r="A9" s="0" t="s">
        <v>2736</v>
      </c>
      <c r="B9" s="0" t="b">
        <v>1</v>
      </c>
    </row>
    <row customHeight="1" ht="11.25">
      <c r="A10" s="0" t="s">
        <v>2737</v>
      </c>
      <c r="B10" s="0" t="b">
        <v>0</v>
      </c>
    </row>
    <row customHeight="1" ht="11.25">
      <c r="A11" s="0" t="s">
        <v>2738</v>
      </c>
      <c r="B11" s="0" t="b">
        <v>0</v>
      </c>
    </row>
    <row customHeight="1" ht="11.25">
      <c r="A12" s="0" t="s">
        <v>2739</v>
      </c>
      <c r="B12" s="0" t="b">
        <v>0</v>
      </c>
    </row>
    <row customHeight="1" ht="11.25">
      <c r="A13" s="0" t="s">
        <v>2740</v>
      </c>
      <c r="B13" s="0" t="b">
        <v>0</v>
      </c>
    </row>
    <row customHeight="1" ht="11.25">
      <c r="A14" s="0" t="s">
        <v>2741</v>
      </c>
      <c r="B14" s="0" t="b">
        <v>0</v>
      </c>
    </row>
    <row customHeight="1" ht="11.25">
      <c r="A15" s="0" t="s">
        <v>2742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05246-4675-2087-421A-2EDA0A5192D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8128" width="9.140625"/>
  </cols>
  <sheetData>
    <row customHeight="1" ht="12.75">
      <c r="A1" s="45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F8D76-F4AA-60B8-3F81-EFEFBBC7C68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38130" width="36.28125" customWidth="1"/>
    <col min="2" max="2" style="38130" width="21.140625" customWidth="1"/>
  </cols>
  <sheetData>
    <row customHeight="1" ht="11.25">
      <c r="A1" s="428" t="s">
        <v>2743</v>
      </c>
      <c r="B1" s="428" t="s">
        <v>2744</v>
      </c>
    </row>
    <row customHeight="1" ht="11.25">
      <c r="A2" s="422" t="s">
        <v>2745</v>
      </c>
      <c r="B2" s="422" t="s">
        <v>2746</v>
      </c>
    </row>
    <row customHeight="1" ht="11.25">
      <c r="A3" s="422" t="s">
        <v>2747</v>
      </c>
      <c r="B3" s="422" t="s">
        <v>2748</v>
      </c>
    </row>
    <row customHeight="1" ht="11.25">
      <c r="A4" s="422" t="s">
        <v>2749</v>
      </c>
      <c r="B4" s="422" t="s">
        <v>2750</v>
      </c>
    </row>
    <row customHeight="1" ht="11.25">
      <c r="A5" s="422" t="s">
        <v>2751</v>
      </c>
      <c r="B5" s="422" t="s">
        <v>2752</v>
      </c>
    </row>
    <row customHeight="1" ht="11.25">
      <c r="A6" s="422" t="s">
        <v>2753</v>
      </c>
      <c r="B6" s="422" t="s">
        <v>2754</v>
      </c>
    </row>
    <row customHeight="1" ht="11.25">
      <c r="A7" s="422" t="s">
        <v>2755</v>
      </c>
      <c r="B7" s="422" t="s">
        <v>2756</v>
      </c>
    </row>
    <row customHeight="1" ht="11.25">
      <c r="A8" s="422" t="s">
        <v>2757</v>
      </c>
      <c r="B8" s="422" t="s">
        <v>2758</v>
      </c>
    </row>
    <row customHeight="1" ht="11.25">
      <c r="A9" s="422" t="s">
        <v>2759</v>
      </c>
      <c r="B9" s="422" t="s">
        <v>2760</v>
      </c>
    </row>
    <row customHeight="1" ht="11.25">
      <c r="A10" s="422" t="s">
        <v>2761</v>
      </c>
      <c r="B10" s="422" t="s">
        <v>2762</v>
      </c>
    </row>
    <row customHeight="1" ht="11.25">
      <c r="A11" s="422" t="s">
        <v>2763</v>
      </c>
      <c r="B11" s="422" t="s">
        <v>2764</v>
      </c>
    </row>
    <row customHeight="1" ht="11.25">
      <c r="A12" s="422" t="s">
        <v>2765</v>
      </c>
      <c r="B12" s="422" t="s">
        <v>2766</v>
      </c>
    </row>
    <row customHeight="1" ht="11.25">
      <c r="A13" s="422" t="s">
        <v>2767</v>
      </c>
      <c r="B13" s="422" t="s">
        <v>2768</v>
      </c>
    </row>
    <row customHeight="1" ht="11.25">
      <c r="A14" s="422" t="s">
        <v>2769</v>
      </c>
      <c r="B14" s="422" t="s">
        <v>2770</v>
      </c>
    </row>
    <row customHeight="1" ht="11.25">
      <c r="A15" s="422" t="s">
        <v>2771</v>
      </c>
      <c r="B15" s="422" t="s">
        <v>2772</v>
      </c>
    </row>
    <row customHeight="1" ht="11.25">
      <c r="A16" s="422" t="s">
        <v>2773</v>
      </c>
      <c r="B16" s="422" t="s">
        <v>2774</v>
      </c>
    </row>
    <row customHeight="1" ht="11.25">
      <c r="A17" s="422" t="s">
        <v>2775</v>
      </c>
      <c r="B17" s="422" t="s">
        <v>2776</v>
      </c>
    </row>
    <row customHeight="1" ht="11.25">
      <c r="A18" s="422" t="s">
        <v>2777</v>
      </c>
      <c r="B18" s="422" t="s">
        <v>2778</v>
      </c>
    </row>
    <row customHeight="1" ht="11.25">
      <c r="A19" s="422" t="s">
        <v>2779</v>
      </c>
      <c r="B19" s="422" t="s">
        <v>2780</v>
      </c>
    </row>
    <row customHeight="1" ht="11.25">
      <c r="A20" s="422" t="s">
        <v>2781</v>
      </c>
      <c r="B20" s="422" t="s">
        <v>2782</v>
      </c>
    </row>
    <row customHeight="1" ht="11.25">
      <c r="A21" s="422" t="s">
        <v>2783</v>
      </c>
      <c r="B21" s="422" t="s">
        <v>2784</v>
      </c>
    </row>
    <row customHeight="1" ht="11.25">
      <c r="A22" s="422" t="s">
        <v>2785</v>
      </c>
      <c r="B22" s="422" t="s">
        <v>2786</v>
      </c>
    </row>
    <row customHeight="1" ht="11.25">
      <c r="A23" s="422" t="s">
        <v>2787</v>
      </c>
      <c r="B23" s="422" t="s">
        <v>2788</v>
      </c>
    </row>
    <row customHeight="1" ht="11.25">
      <c r="A24" s="422" t="s">
        <v>2789</v>
      </c>
      <c r="B24" s="422" t="s">
        <v>2790</v>
      </c>
    </row>
    <row customHeight="1" ht="11.25">
      <c r="A25" s="422" t="s">
        <v>2791</v>
      </c>
      <c r="B25" s="422" t="s">
        <v>2792</v>
      </c>
    </row>
    <row customHeight="1" ht="11.25">
      <c r="A26" s="422" t="s">
        <v>2793</v>
      </c>
      <c r="B26" s="422" t="s">
        <v>2794</v>
      </c>
    </row>
    <row customHeight="1" ht="11.25">
      <c r="A27" s="422" t="s">
        <v>2795</v>
      </c>
      <c r="B27" s="422" t="s">
        <v>2796</v>
      </c>
    </row>
    <row customHeight="1" ht="11.25">
      <c r="A28" s="422" t="s">
        <v>2797</v>
      </c>
      <c r="B28" s="422" t="s">
        <v>2798</v>
      </c>
    </row>
    <row customHeight="1" ht="11.25">
      <c r="A29" s="422" t="s">
        <v>2799</v>
      </c>
      <c r="B29" s="422" t="s">
        <v>2800</v>
      </c>
    </row>
    <row customHeight="1" ht="11.25">
      <c r="A30" s="422" t="s">
        <v>2801</v>
      </c>
      <c r="B30" s="422" t="s">
        <v>2802</v>
      </c>
    </row>
    <row customHeight="1" ht="11.25">
      <c r="A31" s="422" t="s">
        <v>2803</v>
      </c>
      <c r="B31" s="422" t="s">
        <v>2804</v>
      </c>
    </row>
    <row customHeight="1" ht="11.25">
      <c r="A32" s="422" t="s">
        <v>2805</v>
      </c>
      <c r="B32" s="422" t="s">
        <v>2806</v>
      </c>
    </row>
    <row customHeight="1" ht="11.25">
      <c r="A33" s="422" t="s">
        <v>2807</v>
      </c>
      <c r="B33" s="422" t="s">
        <v>2808</v>
      </c>
    </row>
    <row customHeight="1" ht="11.25">
      <c r="A34" s="422" t="s">
        <v>2809</v>
      </c>
      <c r="B34" s="422" t="s">
        <v>2810</v>
      </c>
    </row>
    <row customHeight="1" ht="11.25">
      <c r="A35" s="422" t="s">
        <v>2811</v>
      </c>
      <c r="B35" s="422" t="s">
        <v>2812</v>
      </c>
    </row>
    <row customHeight="1" ht="11.25">
      <c r="A36" s="422" t="s">
        <v>2813</v>
      </c>
      <c r="B36" s="422" t="s">
        <v>2814</v>
      </c>
    </row>
    <row customHeight="1" ht="11.25">
      <c r="A37" s="422" t="s">
        <v>2815</v>
      </c>
      <c r="B37" s="422" t="s">
        <v>2816</v>
      </c>
    </row>
    <row customHeight="1" ht="11.25">
      <c r="A38" s="422" t="s">
        <v>2817</v>
      </c>
      <c r="B38" s="422" t="s">
        <v>2818</v>
      </c>
    </row>
    <row customHeight="1" ht="11.25">
      <c r="A39" s="422" t="s">
        <v>2819</v>
      </c>
      <c r="B39" s="422" t="s">
        <v>2820</v>
      </c>
    </row>
    <row customHeight="1" ht="11.25">
      <c r="A40" s="422" t="s">
        <v>2821</v>
      </c>
      <c r="B40" s="422" t="s">
        <v>2822</v>
      </c>
    </row>
    <row customHeight="1" ht="11.25">
      <c r="A41" s="422" t="s">
        <v>2823</v>
      </c>
      <c r="B41" s="422" t="s">
        <v>2824</v>
      </c>
    </row>
    <row customHeight="1" ht="11.25">
      <c r="A42" s="422" t="s">
        <v>2825</v>
      </c>
      <c r="B42" s="422" t="s">
        <v>2826</v>
      </c>
    </row>
    <row customHeight="1" ht="11.25">
      <c r="A43" s="422" t="s">
        <v>2827</v>
      </c>
      <c r="B43" s="422" t="s">
        <v>2828</v>
      </c>
    </row>
    <row customHeight="1" ht="11.25">
      <c r="A44" s="422" t="s">
        <v>2829</v>
      </c>
      <c r="B44" s="422" t="s">
        <v>2830</v>
      </c>
    </row>
    <row customHeight="1" ht="11.25">
      <c r="A45" s="422" t="s">
        <v>2831</v>
      </c>
      <c r="B45" s="422" t="s">
        <v>2832</v>
      </c>
    </row>
    <row customHeight="1" ht="11.25">
      <c r="A46" s="422" t="s">
        <v>2833</v>
      </c>
      <c r="B46" s="422" t="s">
        <v>2834</v>
      </c>
    </row>
    <row customHeight="1" ht="11.25">
      <c r="A47" s="422" t="s">
        <v>2835</v>
      </c>
      <c r="B47" s="422" t="s">
        <v>2836</v>
      </c>
    </row>
    <row customHeight="1" ht="11.25">
      <c r="A48" s="422" t="s">
        <v>2837</v>
      </c>
      <c r="B48" s="422" t="s">
        <v>2838</v>
      </c>
    </row>
    <row customHeight="1" ht="11.25">
      <c r="A49" s="422" t="s">
        <v>2839</v>
      </c>
      <c r="B49" s="422" t="s">
        <v>2840</v>
      </c>
    </row>
    <row customHeight="1" ht="11.25">
      <c r="A50" s="422" t="s">
        <v>2841</v>
      </c>
      <c r="B50" s="422" t="s">
        <v>2842</v>
      </c>
    </row>
    <row customHeight="1" ht="11.25">
      <c r="A51" s="422" t="s">
        <v>2843</v>
      </c>
      <c r="B51" s="422" t="s">
        <v>2844</v>
      </c>
    </row>
    <row customHeight="1" ht="11.25">
      <c r="A52" s="422" t="s">
        <v>2845</v>
      </c>
      <c r="B52" s="422" t="s">
        <v>2846</v>
      </c>
    </row>
    <row customHeight="1" ht="11.25">
      <c r="A53" s="422" t="s">
        <v>2847</v>
      </c>
      <c r="B53" s="422" t="s">
        <v>2848</v>
      </c>
    </row>
    <row customHeight="1" ht="11.25">
      <c r="A54" s="422" t="s">
        <v>2849</v>
      </c>
      <c r="B54" s="422" t="s">
        <v>2850</v>
      </c>
    </row>
    <row customHeight="1" ht="11.25">
      <c r="A55" s="422" t="s">
        <v>2851</v>
      </c>
      <c r="B55" s="422" t="s">
        <v>2852</v>
      </c>
    </row>
    <row customHeight="1" ht="11.25">
      <c r="A56" s="422" t="s">
        <v>2853</v>
      </c>
      <c r="B56" s="422" t="s">
        <v>2854</v>
      </c>
    </row>
    <row customHeight="1" ht="11.25">
      <c r="A57" s="422" t="s">
        <v>2855</v>
      </c>
      <c r="B57" s="422" t="s">
        <v>2856</v>
      </c>
    </row>
    <row customHeight="1" ht="11.25">
      <c r="A58" s="422" t="s">
        <v>2857</v>
      </c>
      <c r="B58" s="422" t="s">
        <v>2858</v>
      </c>
    </row>
    <row customHeight="1" ht="11.25">
      <c r="A59" s="422" t="s">
        <v>2859</v>
      </c>
      <c r="B59" s="422" t="s">
        <v>2860</v>
      </c>
    </row>
    <row customHeight="1" ht="11.25">
      <c r="A60" s="422" t="s">
        <v>2861</v>
      </c>
      <c r="B60" s="422" t="s">
        <v>2862</v>
      </c>
    </row>
    <row customHeight="1" ht="11.25">
      <c r="A61" s="422"/>
      <c r="B61" s="422" t="s">
        <v>2863</v>
      </c>
    </row>
    <row customHeight="1" ht="11.25">
      <c r="A62" s="422"/>
      <c r="B62" s="422" t="s">
        <v>2864</v>
      </c>
    </row>
    <row customHeight="1" ht="11.25">
      <c r="A63" s="422"/>
      <c r="B63" s="422" t="s">
        <v>2865</v>
      </c>
    </row>
    <row customHeight="1" ht="11.25">
      <c r="A64" s="422"/>
      <c r="B64" s="422" t="s">
        <v>2866</v>
      </c>
    </row>
    <row customHeight="1" ht="11.25">
      <c r="A65" s="422"/>
      <c r="B65" s="422" t="s">
        <v>2867</v>
      </c>
    </row>
    <row customHeight="1" ht="11.25">
      <c r="A66" s="422"/>
      <c r="B66" s="422" t="s">
        <v>2868</v>
      </c>
    </row>
    <row customHeight="1" ht="11.25">
      <c r="A67" s="422"/>
      <c r="B67" s="422" t="s">
        <v>2869</v>
      </c>
    </row>
    <row customHeight="1" ht="11.25">
      <c r="A68" s="422"/>
      <c r="B68" s="422" t="s">
        <v>2870</v>
      </c>
    </row>
    <row customHeight="1" ht="11.25">
      <c r="A69" s="422"/>
      <c r="B69" s="422" t="s">
        <v>2871</v>
      </c>
    </row>
    <row customHeight="1" ht="11.25">
      <c r="A70" s="422"/>
      <c r="B70" s="422" t="s">
        <v>2872</v>
      </c>
    </row>
    <row customHeight="1" ht="11.25">
      <c r="A71" s="422"/>
      <c r="B71" s="422"/>
    </row>
    <row customHeight="1" ht="11.25">
      <c r="A72" s="422"/>
      <c r="B72" s="422"/>
    </row>
    <row customHeight="1" ht="11.25">
      <c r="A73" s="422"/>
      <c r="B73" s="422"/>
    </row>
    <row customHeight="1" ht="11.25">
      <c r="A74" s="422"/>
      <c r="B74" s="422"/>
    </row>
    <row customHeight="1" ht="11.25">
      <c r="A75" s="422"/>
      <c r="B75" s="422"/>
    </row>
    <row customHeight="1" ht="11.25">
      <c r="A76" s="422"/>
      <c r="B76" s="422"/>
    </row>
    <row customHeight="1" ht="11.25">
      <c r="A77" s="422"/>
      <c r="B77" s="422"/>
    </row>
    <row customHeight="1" ht="11.25">
      <c r="A78" s="422"/>
      <c r="B78" s="422"/>
    </row>
    <row customHeight="1" ht="11.25">
      <c r="A79" s="422"/>
      <c r="B79" s="422"/>
    </row>
    <row customHeight="1" ht="11.25">
      <c r="A80" s="422"/>
      <c r="B80" s="422"/>
    </row>
    <row customHeight="1" ht="11.25">
      <c r="A81" s="422"/>
      <c r="B81" s="422"/>
    </row>
    <row customHeight="1" ht="11.25">
      <c r="A82" s="422"/>
      <c r="B82" s="422"/>
    </row>
    <row customHeight="1" ht="11.25">
      <c r="A83" s="422"/>
      <c r="B83" s="422"/>
    </row>
    <row customHeight="1" ht="11.25">
      <c r="A84" s="422"/>
      <c r="B84" s="422"/>
    </row>
    <row customHeight="1" ht="11.25">
      <c r="A85" s="422"/>
      <c r="B85" s="422"/>
    </row>
    <row customHeight="1" ht="11.25">
      <c r="A86" s="422"/>
      <c r="B86" s="422"/>
    </row>
    <row customHeight="1" ht="11.25">
      <c r="A87" s="422"/>
      <c r="B87" s="422"/>
    </row>
    <row customHeight="1" ht="11.25">
      <c r="A88" s="422"/>
      <c r="B88" s="422"/>
    </row>
    <row customHeight="1" ht="11.25">
      <c r="A89" s="422"/>
      <c r="B89" s="422"/>
    </row>
    <row customHeight="1" ht="11.25">
      <c r="A90" s="422"/>
      <c r="B90" s="422"/>
    </row>
    <row customHeight="1" ht="11.25">
      <c r="A91" s="422"/>
      <c r="B91" s="422"/>
    </row>
    <row customHeight="1" ht="11.25">
      <c r="A92" s="422"/>
      <c r="B92" s="422"/>
    </row>
    <row customHeight="1" ht="11.25">
      <c r="A93" s="422"/>
      <c r="B93" s="422"/>
    </row>
    <row customHeight="1" ht="11.25">
      <c r="A94" s="422"/>
      <c r="B94" s="422"/>
    </row>
    <row customHeight="1" ht="11.25">
      <c r="A95" s="422"/>
      <c r="B95" s="422"/>
    </row>
    <row customHeight="1" ht="11.25">
      <c r="A96" s="422"/>
      <c r="B96" s="422"/>
    </row>
    <row customHeight="1" ht="11.25">
      <c r="A97" s="422"/>
      <c r="B97" s="422"/>
    </row>
    <row customHeight="1" ht="11.25">
      <c r="A98" s="422"/>
      <c r="B98" s="422"/>
    </row>
    <row customHeight="1" ht="11.25">
      <c r="A99" s="422"/>
      <c r="B99" s="422"/>
    </row>
    <row customHeight="1" ht="11.25">
      <c r="A100" s="422"/>
      <c r="B100" s="422"/>
    </row>
    <row customHeight="1" ht="11.25">
      <c r="A101" s="422"/>
      <c r="B101" s="422"/>
    </row>
    <row customHeight="1" ht="11.25">
      <c r="A102" s="422"/>
      <c r="B102" s="422"/>
    </row>
    <row customHeight="1" ht="11.25">
      <c r="A103" s="422"/>
      <c r="B103" s="422"/>
    </row>
    <row customHeight="1" ht="11.25">
      <c r="A104" s="422"/>
      <c r="B104" s="422"/>
    </row>
    <row customHeight="1" ht="11.25">
      <c r="A105" s="422"/>
      <c r="B105" s="422"/>
    </row>
    <row customHeight="1" ht="11.25">
      <c r="A106" s="422"/>
      <c r="B106" s="422"/>
    </row>
    <row customHeight="1" ht="11.25">
      <c r="A107" s="422"/>
      <c r="B107" s="422"/>
    </row>
    <row customHeight="1" ht="11.25">
      <c r="A108" s="422"/>
      <c r="B108" s="422"/>
    </row>
    <row customHeight="1" ht="11.25">
      <c r="A109" s="422"/>
      <c r="B109" s="422"/>
    </row>
    <row customHeight="1" ht="11.25">
      <c r="A110" s="422"/>
      <c r="B110" s="422"/>
    </row>
    <row customHeight="1" ht="11.25">
      <c r="A111" s="422"/>
      <c r="B111" s="422"/>
    </row>
    <row customHeight="1" ht="11.25">
      <c r="A112" s="422"/>
      <c r="B112" s="422"/>
    </row>
    <row customHeight="1" ht="11.25">
      <c r="A113" s="422"/>
      <c r="B113" s="422"/>
    </row>
    <row customHeight="1" ht="11.25">
      <c r="A114" s="422"/>
      <c r="B114" s="422"/>
    </row>
    <row customHeight="1" ht="11.25">
      <c r="A115" s="422"/>
      <c r="B115" s="422"/>
    </row>
    <row customHeight="1" ht="11.25">
      <c r="A116" s="422"/>
      <c r="B116" s="422"/>
    </row>
    <row customHeight="1" ht="11.25">
      <c r="A117" s="422"/>
      <c r="B117" s="422"/>
    </row>
    <row customHeight="1" ht="11.25">
      <c r="A118" s="422"/>
      <c r="B118" s="422"/>
    </row>
    <row customHeight="1" ht="11.25">
      <c r="A119" s="422"/>
      <c r="B119" s="422"/>
    </row>
    <row customHeight="1" ht="11.25">
      <c r="A120" s="422"/>
      <c r="B120" s="422"/>
    </row>
    <row customHeight="1" ht="11.25">
      <c r="A121" s="422"/>
      <c r="B121" s="422"/>
    </row>
    <row customHeight="1" ht="11.25">
      <c r="A122" s="422"/>
      <c r="B122" s="422"/>
    </row>
    <row customHeight="1" ht="11.25">
      <c r="A123" s="422"/>
      <c r="B123" s="422"/>
    </row>
    <row customHeight="1" ht="11.25">
      <c r="A124" s="422"/>
      <c r="B124" s="422"/>
    </row>
    <row customHeight="1" ht="11.25">
      <c r="A125" s="422"/>
      <c r="B125" s="422"/>
    </row>
    <row customHeight="1" ht="11.25">
      <c r="A126" s="422"/>
      <c r="B126" s="422"/>
    </row>
    <row customHeight="1" ht="11.25">
      <c r="A127" s="422"/>
      <c r="B127" s="422"/>
    </row>
    <row customHeight="1" ht="11.25">
      <c r="A128" s="422"/>
      <c r="B128" s="422"/>
    </row>
    <row customHeight="1" ht="11.25">
      <c r="A129" s="422"/>
      <c r="B129" s="422"/>
    </row>
    <row customHeight="1" ht="11.25">
      <c r="A130" s="422"/>
      <c r="B130" s="422"/>
    </row>
    <row customHeight="1" ht="11.25">
      <c r="A131" s="422"/>
      <c r="B131" s="422"/>
    </row>
    <row customHeight="1" ht="11.25">
      <c r="A132" s="422"/>
      <c r="B132" s="422"/>
    </row>
    <row customHeight="1" ht="11.25">
      <c r="A133" s="422"/>
      <c r="B133" s="422"/>
    </row>
    <row customHeight="1" ht="11.25">
      <c r="A134" s="422"/>
      <c r="B134" s="422"/>
    </row>
    <row customHeight="1" ht="11.25">
      <c r="A135" s="422"/>
      <c r="B135" s="422"/>
    </row>
    <row customHeight="1" ht="11.25">
      <c r="A136" s="422"/>
      <c r="B136" s="422"/>
    </row>
    <row customHeight="1" ht="11.25">
      <c r="A137" s="422"/>
      <c r="B137" s="422"/>
    </row>
    <row customHeight="1" ht="11.25">
      <c r="A138" s="422"/>
      <c r="B138" s="422"/>
    </row>
    <row customHeight="1" ht="11.25">
      <c r="A139" s="422"/>
      <c r="B139" s="422"/>
    </row>
    <row customHeight="1" ht="11.25">
      <c r="A140" s="422"/>
      <c r="B140" s="422"/>
    </row>
    <row customHeight="1" ht="11.25">
      <c r="A141" s="422"/>
      <c r="B141" s="422"/>
    </row>
    <row customHeight="1" ht="11.25">
      <c r="A142" s="422"/>
      <c r="B142" s="422"/>
    </row>
    <row customHeight="1" ht="11.25">
      <c r="A143" s="422"/>
      <c r="B143" s="422"/>
    </row>
    <row customHeight="1" ht="11.25">
      <c r="A144" s="422"/>
      <c r="B144" s="422"/>
    </row>
    <row customHeight="1" ht="11.25">
      <c r="A145" s="422"/>
      <c r="B145" s="422"/>
    </row>
    <row customHeight="1" ht="11.25">
      <c r="A146" s="422"/>
      <c r="B146" s="422"/>
    </row>
    <row customHeight="1" ht="11.25">
      <c r="A147" s="422"/>
      <c r="B147" s="422"/>
    </row>
    <row customHeight="1" ht="11.25">
      <c r="A148" s="422"/>
      <c r="B148" s="422"/>
    </row>
    <row customHeight="1" ht="11.25">
      <c r="A149" s="422"/>
      <c r="B149" s="422"/>
    </row>
    <row customHeight="1" ht="11.25">
      <c r="A150" s="422"/>
      <c r="B150" s="422"/>
    </row>
    <row customHeight="1" ht="11.25">
      <c r="A151" s="422"/>
      <c r="B151" s="422"/>
    </row>
    <row customHeight="1" ht="11.25">
      <c r="A152" s="422"/>
      <c r="B152" s="422"/>
    </row>
    <row customHeight="1" ht="11.25">
      <c r="A153" s="422"/>
      <c r="B153" s="422"/>
    </row>
    <row customHeight="1" ht="11.25">
      <c r="A154" s="422"/>
      <c r="B154" s="422"/>
    </row>
    <row customHeight="1" ht="11.25">
      <c r="A155" s="422"/>
      <c r="B155" s="422"/>
    </row>
    <row customHeight="1" ht="11.25">
      <c r="A156" s="422"/>
      <c r="B156" s="422"/>
    </row>
    <row customHeight="1" ht="11.25">
      <c r="A157" s="422"/>
      <c r="B157" s="422"/>
    </row>
    <row customHeight="1" ht="11.25">
      <c r="A158" s="422"/>
      <c r="B158" s="422"/>
    </row>
    <row customHeight="1" ht="11.25">
      <c r="A159" s="422"/>
      <c r="B159" s="422"/>
    </row>
    <row customHeight="1" ht="11.25">
      <c r="A160" s="422"/>
      <c r="B160" s="422"/>
    </row>
    <row customHeight="1" ht="11.25">
      <c r="A161" s="422"/>
      <c r="B161" s="422"/>
    </row>
    <row customHeight="1" ht="11.25">
      <c r="A162" s="422"/>
      <c r="B162" s="422"/>
    </row>
    <row customHeight="1" ht="11.25">
      <c r="A163" s="422"/>
      <c r="B163" s="422"/>
    </row>
    <row customHeight="1" ht="11.25">
      <c r="A164" s="422"/>
      <c r="B164" s="422"/>
    </row>
    <row customHeight="1" ht="11.25">
      <c r="A165" s="422"/>
      <c r="B165" s="422"/>
    </row>
    <row customHeight="1" ht="11.25">
      <c r="A166" s="422"/>
      <c r="B166" s="422"/>
    </row>
    <row customHeight="1" ht="11.25">
      <c r="A167" s="422"/>
      <c r="B167" s="422"/>
    </row>
    <row customHeight="1" ht="11.25">
      <c r="A168" s="422"/>
      <c r="B168" s="422"/>
    </row>
    <row customHeight="1" ht="11.25">
      <c r="A169" s="422"/>
      <c r="B169" s="422"/>
    </row>
    <row customHeight="1" ht="11.25">
      <c r="A170" s="422"/>
      <c r="B170" s="422"/>
    </row>
    <row customHeight="1" ht="11.25">
      <c r="A171" s="422"/>
      <c r="B171" s="422"/>
    </row>
    <row customHeight="1" ht="11.25">
      <c r="A172" s="422"/>
      <c r="B172" s="422"/>
    </row>
    <row customHeight="1" ht="11.25">
      <c r="A173" s="422"/>
      <c r="B173" s="422"/>
    </row>
    <row customHeight="1" ht="11.25">
      <c r="A174" s="422"/>
      <c r="B174" s="422"/>
    </row>
    <row customHeight="1" ht="11.25">
      <c r="A175" s="422"/>
      <c r="B175" s="422"/>
    </row>
    <row customHeight="1" ht="11.25">
      <c r="A176" s="422"/>
      <c r="B176" s="422"/>
    </row>
    <row customHeight="1" ht="11.25">
      <c r="A177" s="422"/>
      <c r="B177" s="422"/>
    </row>
    <row customHeight="1" ht="11.25">
      <c r="A178" s="422"/>
      <c r="B178" s="422"/>
    </row>
    <row customHeight="1" ht="11.25">
      <c r="A179" s="422"/>
      <c r="B179" s="422"/>
    </row>
    <row customHeight="1" ht="11.25">
      <c r="A180" s="422"/>
      <c r="B180" s="422"/>
    </row>
    <row customHeight="1" ht="11.25">
      <c r="A181" s="422"/>
      <c r="B181" s="422"/>
    </row>
    <row customHeight="1" ht="11.25">
      <c r="A182" s="422"/>
      <c r="B182" s="422"/>
    </row>
    <row customHeight="1" ht="11.25">
      <c r="A183" s="422"/>
      <c r="B183" s="422"/>
    </row>
    <row customHeight="1" ht="11.25">
      <c r="A184" s="422"/>
      <c r="B184" s="422"/>
    </row>
    <row customHeight="1" ht="11.25">
      <c r="A185" s="422"/>
      <c r="B185" s="422"/>
    </row>
    <row customHeight="1" ht="11.25">
      <c r="A186" s="422"/>
      <c r="B186" s="422"/>
    </row>
    <row customHeight="1" ht="11.25">
      <c r="A187" s="422"/>
      <c r="B187" s="422"/>
    </row>
    <row customHeight="1" ht="11.25">
      <c r="A188" s="422"/>
      <c r="B188" s="422"/>
    </row>
    <row customHeight="1" ht="11.25">
      <c r="A189" s="422"/>
      <c r="B189" s="422"/>
    </row>
    <row customHeight="1" ht="11.25">
      <c r="A190" s="422"/>
      <c r="B190" s="422"/>
    </row>
    <row customHeight="1" ht="11.25">
      <c r="A191" s="422"/>
      <c r="B191" s="422"/>
    </row>
    <row customHeight="1" ht="11.25">
      <c r="A192" s="422"/>
      <c r="B192" s="422"/>
    </row>
    <row customHeight="1" ht="11.25">
      <c r="A193" s="422"/>
      <c r="B193" s="422"/>
    </row>
    <row customHeight="1" ht="11.25">
      <c r="A194" s="422"/>
      <c r="B194" s="422"/>
    </row>
    <row customHeight="1" ht="11.25">
      <c r="A195" s="422"/>
      <c r="B195" s="422"/>
    </row>
    <row customHeight="1" ht="11.25">
      <c r="A196" s="422"/>
      <c r="B196" s="422"/>
    </row>
    <row customHeight="1" ht="11.25">
      <c r="A197" s="422"/>
      <c r="B197" s="422"/>
    </row>
    <row customHeight="1" ht="11.25">
      <c r="A198" s="422"/>
      <c r="B198" s="422"/>
    </row>
    <row customHeight="1" ht="11.25">
      <c r="A199" s="422"/>
      <c r="B199" s="422"/>
    </row>
    <row customHeight="1" ht="11.25">
      <c r="A200" s="422"/>
      <c r="B200" s="422"/>
    </row>
    <row customHeight="1" ht="11.25">
      <c r="A201" s="422"/>
      <c r="B201" s="422"/>
    </row>
    <row customHeight="1" ht="11.25">
      <c r="A202" s="422"/>
      <c r="B202" s="422"/>
    </row>
    <row customHeight="1" ht="11.25">
      <c r="A203" s="422"/>
      <c r="B203" s="422"/>
    </row>
    <row customHeight="1" ht="11.25">
      <c r="A204" s="422"/>
      <c r="B204" s="422"/>
    </row>
    <row customHeight="1" ht="11.25">
      <c r="A205" s="422"/>
      <c r="B205" s="422"/>
    </row>
    <row customHeight="1" ht="11.25">
      <c r="A206" s="422"/>
      <c r="B206" s="422"/>
    </row>
    <row customHeight="1" ht="11.25">
      <c r="A207" s="422"/>
      <c r="B207" s="422"/>
    </row>
    <row customHeight="1" ht="11.25">
      <c r="A208" s="422"/>
      <c r="B208" s="422"/>
    </row>
    <row customHeight="1" ht="11.25">
      <c r="A209" s="422"/>
      <c r="B209" s="422"/>
    </row>
    <row customHeight="1" ht="11.25">
      <c r="A210" s="422"/>
      <c r="B210" s="422"/>
    </row>
    <row customHeight="1" ht="11.25">
      <c r="A211" s="422"/>
      <c r="B211" s="422"/>
    </row>
    <row customHeight="1" ht="11.25">
      <c r="A212" s="422"/>
      <c r="B212" s="422"/>
    </row>
    <row customHeight="1" ht="11.25">
      <c r="A213" s="422"/>
      <c r="B213" s="422"/>
    </row>
    <row customHeight="1" ht="11.25">
      <c r="A214" s="422"/>
      <c r="B214" s="422"/>
    </row>
    <row customHeight="1" ht="11.25">
      <c r="A215" s="422"/>
      <c r="B215" s="422"/>
    </row>
    <row customHeight="1" ht="11.25">
      <c r="A216" s="422"/>
      <c r="B216" s="422"/>
    </row>
    <row customHeight="1" ht="11.25">
      <c r="A217" s="422"/>
      <c r="B217" s="422"/>
    </row>
    <row customHeight="1" ht="11.25">
      <c r="A218" s="422"/>
      <c r="B218" s="422"/>
    </row>
    <row customHeight="1" ht="11.25">
      <c r="A219" s="422"/>
      <c r="B219" s="422"/>
    </row>
    <row customHeight="1" ht="11.25">
      <c r="A220" s="422"/>
      <c r="B220" s="422"/>
    </row>
    <row customHeight="1" ht="11.25">
      <c r="A221" s="422"/>
      <c r="B221" s="422"/>
    </row>
    <row customHeight="1" ht="11.25">
      <c r="A222" s="422"/>
      <c r="B222" s="422"/>
    </row>
    <row customHeight="1" ht="11.25">
      <c r="A223" s="422"/>
      <c r="B223" s="422"/>
    </row>
    <row customHeight="1" ht="11.25">
      <c r="A224" s="422"/>
      <c r="B224" s="422"/>
    </row>
    <row customHeight="1" ht="11.25">
      <c r="A225" s="422"/>
      <c r="B225" s="422"/>
    </row>
    <row customHeight="1" ht="11.25">
      <c r="A226" s="422"/>
      <c r="B226" s="422"/>
    </row>
    <row customHeight="1" ht="11.25">
      <c r="A227" s="422"/>
      <c r="B227" s="422"/>
    </row>
    <row customHeight="1" ht="11.25">
      <c r="A228" s="422"/>
      <c r="B228" s="422"/>
    </row>
    <row customHeight="1" ht="11.25">
      <c r="A229" s="422"/>
      <c r="B229" s="422"/>
    </row>
    <row customHeight="1" ht="11.25">
      <c r="A230" s="422"/>
      <c r="B230" s="422"/>
    </row>
    <row customHeight="1" ht="11.25">
      <c r="A231" s="422"/>
      <c r="B231" s="422"/>
    </row>
    <row customHeight="1" ht="11.25">
      <c r="A232" s="422"/>
      <c r="B232" s="422"/>
    </row>
    <row customHeight="1" ht="11.25">
      <c r="A233" s="422"/>
      <c r="B233" s="422"/>
    </row>
    <row customHeight="1" ht="11.25">
      <c r="A234" s="422"/>
      <c r="B234" s="422"/>
    </row>
    <row customHeight="1" ht="11.25">
      <c r="A235" s="422"/>
      <c r="B235" s="422"/>
    </row>
    <row customHeight="1" ht="11.25">
      <c r="A236" s="422"/>
      <c r="B236" s="422"/>
    </row>
    <row customHeight="1" ht="11.25">
      <c r="A237" s="422"/>
      <c r="B237" s="422"/>
    </row>
    <row customHeight="1" ht="11.25">
      <c r="A238" s="422"/>
      <c r="B238" s="422"/>
    </row>
    <row customHeight="1" ht="11.25">
      <c r="A239" s="422"/>
      <c r="B239" s="422"/>
    </row>
    <row customHeight="1" ht="11.25">
      <c r="A240" s="422"/>
      <c r="B240" s="422"/>
    </row>
    <row customHeight="1" ht="11.25">
      <c r="A241" s="422"/>
      <c r="B241" s="422"/>
    </row>
    <row customHeight="1" ht="11.25">
      <c r="A242" s="422"/>
      <c r="B242" s="422"/>
    </row>
    <row customHeight="1" ht="11.25">
      <c r="A243" s="422"/>
      <c r="B243" s="422"/>
    </row>
    <row customHeight="1" ht="11.25">
      <c r="A244" s="422"/>
      <c r="B244" s="422"/>
    </row>
    <row customHeight="1" ht="11.25">
      <c r="A245" s="422"/>
      <c r="B245" s="422"/>
    </row>
    <row customHeight="1" ht="11.25">
      <c r="A246" s="422"/>
      <c r="B246" s="422"/>
    </row>
    <row customHeight="1" ht="11.25">
      <c r="A247" s="422"/>
      <c r="B247" s="422"/>
    </row>
    <row customHeight="1" ht="11.25">
      <c r="A248" s="422"/>
      <c r="B248" s="422"/>
    </row>
    <row customHeight="1" ht="11.25">
      <c r="A249" s="422"/>
      <c r="B249" s="422"/>
    </row>
    <row customHeight="1" ht="11.25">
      <c r="A250" s="422"/>
      <c r="B250" s="422"/>
    </row>
    <row customHeight="1" ht="11.25">
      <c r="A251" s="422"/>
      <c r="B251" s="422"/>
    </row>
    <row customHeight="1" ht="11.25">
      <c r="A252" s="422"/>
      <c r="B252" s="422"/>
    </row>
    <row customHeight="1" ht="11.25">
      <c r="A253" s="422"/>
      <c r="B253" s="42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F6F82E-7DA3-47C7-19FF-4544C2BF254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38142" width="3.7109375" customWidth="1"/>
    <col min="2" max="2" style="38142" width="90.7109375" customWidth="1"/>
    <col min="3" max="4" style="38142" width="9.140625"/>
  </cols>
  <sheetData>
    <row customHeight="1" ht="11.25">
      <c r="B1" s="454" t="s">
        <v>2873</v>
      </c>
    </row>
    <row customHeight="1" ht="90">
      <c r="B2" s="455" t="s">
        <v>2874</v>
      </c>
    </row>
    <row customHeight="1" ht="67.5">
      <c r="B3" s="455" t="s">
        <v>2875</v>
      </c>
    </row>
    <row customHeight="1" ht="33.75">
      <c r="B4" s="455" t="s">
        <v>2876</v>
      </c>
    </row>
    <row customHeight="1" ht="11.25">
      <c r="B5" s="455" t="s">
        <v>2877</v>
      </c>
    </row>
    <row customHeight="1" ht="22.5">
      <c r="B6" s="455" t="s">
        <v>2878</v>
      </c>
    </row>
    <row customHeight="1" ht="22.5">
      <c r="B7" s="455" t="s">
        <v>2879</v>
      </c>
    </row>
    <row customHeight="1" ht="22.5">
      <c r="B8" s="455" t="s">
        <v>2880</v>
      </c>
    </row>
    <row customHeight="1" ht="22.5">
      <c r="B9" s="455" t="s">
        <v>2881</v>
      </c>
    </row>
    <row customHeight="1" ht="56.25">
      <c r="B10" s="455" t="s">
        <v>2882</v>
      </c>
    </row>
    <row customHeight="1" ht="12.75">
      <c r="B11" s="521" t="s">
        <v>2883</v>
      </c>
    </row>
    <row customHeight="1" ht="11.25">
      <c r="B12" s="454" t="s">
        <v>2884</v>
      </c>
    </row>
    <row customHeight="1" ht="22.5">
      <c r="B13" s="455" t="s">
        <v>2885</v>
      </c>
    </row>
    <row customHeight="1" ht="67.5">
      <c r="B14" s="455" t="s">
        <v>2886</v>
      </c>
    </row>
    <row customHeight="1" ht="22.5">
      <c r="B15" s="455" t="s">
        <v>2887</v>
      </c>
    </row>
    <row customHeight="1" ht="11.25">
      <c r="B16" s="454" t="s">
        <v>2888</v>
      </c>
      <c r="D16" s="462"/>
    </row>
    <row customHeight="1" ht="33.75">
      <c r="B17" s="455" t="s">
        <v>2889</v>
      </c>
    </row>
    <row customHeight="1" ht="33.75">
      <c r="B18" s="455" t="s">
        <v>2890</v>
      </c>
    </row>
    <row customHeight="1" ht="11.25">
      <c r="B19" s="455" t="s">
        <v>2891</v>
      </c>
    </row>
    <row customHeight="1" ht="33.75">
      <c r="B20" s="455" t="s">
        <v>2892</v>
      </c>
    </row>
    <row customHeight="1" ht="11.25">
      <c r="B21" s="454" t="s">
        <v>2893</v>
      </c>
    </row>
    <row customHeight="1" ht="11.25">
      <c r="B22" s="455" t="s">
        <v>2894</v>
      </c>
    </row>
    <row r="24" customHeight="1" ht="22.5">
      <c r="B24" s="523" t="s">
        <v>2895</v>
      </c>
    </row>
    <row r="26" customHeight="1" ht="11.25">
      <c r="B26" s="454" t="s">
        <v>2896</v>
      </c>
    </row>
    <row customHeight="1" ht="22.5">
      <c r="B27" s="522" t="s">
        <v>437</v>
      </c>
    </row>
    <row customHeight="1" ht="56.25">
      <c r="B28" s="522" t="s">
        <v>2897</v>
      </c>
    </row>
    <row customHeight="1" ht="11.25">
      <c r="B29" s="571" t="s">
        <v>2898</v>
      </c>
    </row>
    <row customHeight="1" ht="22.5">
      <c r="B30" s="522" t="s">
        <v>2899</v>
      </c>
    </row>
    <row r="32" customHeight="1" ht="11.25">
      <c r="A32" s="549"/>
      <c r="B32" s="550" t="s">
        <v>2900</v>
      </c>
    </row>
    <row customHeight="1" ht="14.25">
      <c r="A33" s="551">
        <v>1</v>
      </c>
      <c r="B33" s="552" t="s">
        <v>2901</v>
      </c>
    </row>
    <row customHeight="1" ht="14.25">
      <c r="A34" s="551">
        <v>2</v>
      </c>
      <c r="B34" s="552" t="s">
        <v>2902</v>
      </c>
    </row>
    <row customHeight="1" ht="11.25">
      <c r="B35" s="550" t="s">
        <v>2903</v>
      </c>
    </row>
    <row customHeight="1" ht="11.25">
      <c r="B36" s="552" t="s">
        <v>2904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BA436-65AF-F5D9-43E6-505F944C91A5}"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32098" width="9.140625" hidden="1" customWidth="1"/>
    <col min="2" max="2" style="32099" width="9.140625" hidden="1" customWidth="1"/>
    <col min="3" max="3" style="32072" width="3.7109375" customWidth="1"/>
    <col min="4" max="4" style="32099" width="5.57421875" customWidth="1"/>
    <col min="5" max="5" style="32099" width="38.140625" customWidth="1"/>
    <col min="6" max="7" style="32099" width="3.7109375" customWidth="1"/>
    <col min="8" max="8" style="32099" width="38.28125" customWidth="1"/>
    <col min="9" max="9" style="32099" width="35.7109375" customWidth="1"/>
    <col min="10" max="10" style="32099" width="103.7109375" customWidth="1"/>
    <col min="11" max="11" style="31861" width="3.7109375" customWidth="1"/>
    <col min="12" max="14" style="32100" width="10.57421875"/>
    <col min="15" max="15" style="32100" width="13.7109375" customWidth="1"/>
    <col min="16" max="16" style="32100" width="15.421875" customWidth="1"/>
    <col min="17" max="17" style="32100" width="16.28125" customWidth="1"/>
    <col min="18" max="21" style="32100" width="10.57421875"/>
  </cols>
  <sheetData>
    <row customHeight="1" ht="14.25" hidden="1">
      <c r="E1" s="773"/>
      <c r="F1" s="773"/>
      <c r="G1" s="773"/>
      <c r="H1" s="2502" t="s">
        <v>393</v>
      </c>
      <c r="I1" s="2502"/>
    </row>
    <row s="32076" customFormat="1" customHeight="1" ht="14.25" hidden="1">
      <c r="C2" s="1985"/>
      <c r="D2" s="2506" t="s">
        <v>118</v>
      </c>
      <c r="E2" s="2508"/>
      <c r="F2" s="1991"/>
      <c r="G2" s="1986" t="s">
        <v>118</v>
      </c>
      <c r="H2" s="1989"/>
      <c r="I2" s="1987"/>
      <c r="L2" s="1988"/>
      <c r="M2" s="1988"/>
      <c r="N2" s="1988"/>
      <c r="O2" s="1988" t="s">
        <v>423</v>
      </c>
      <c r="P2" s="1988"/>
      <c r="Q2" s="1988"/>
      <c r="R2" s="1990" t="s">
        <v>422</v>
      </c>
      <c r="S2" s="1990" t="s">
        <v>422</v>
      </c>
      <c r="T2" s="1988"/>
      <c r="U2" s="1988"/>
    </row>
    <row s="32076" customFormat="1" customHeight="1" ht="14.25" hidden="1">
      <c r="C3" s="1985"/>
      <c r="D3" s="2507"/>
      <c r="E3" s="2509"/>
      <c r="F3" s="766"/>
      <c r="G3" s="1230"/>
      <c r="H3" s="1230" t="s">
        <v>424</v>
      </c>
      <c r="I3" s="674"/>
      <c r="L3" s="1988"/>
      <c r="M3" s="1988"/>
      <c r="N3" s="1988"/>
      <c r="O3" s="1988"/>
      <c r="P3" s="1988"/>
      <c r="Q3" s="1988"/>
      <c r="R3" s="1990"/>
      <c r="S3" s="1990"/>
      <c r="T3" s="1988"/>
      <c r="U3" s="1988"/>
    </row>
    <row customHeight="1" ht="14.25" hidden="1"/>
    <row s="32087" customFormat="1" customHeight="1" ht="6">
      <c r="C5" s="1062"/>
      <c r="D5" s="1063"/>
      <c r="E5" s="1063"/>
      <c r="F5" s="1063"/>
      <c r="G5" s="1063"/>
      <c r="H5" s="1063" t="s">
        <v>397</v>
      </c>
      <c r="I5" s="1063"/>
      <c r="J5" s="1063"/>
      <c r="L5" s="1980"/>
      <c r="M5" s="1980"/>
      <c r="N5" s="1980"/>
      <c r="O5" s="1980"/>
      <c r="P5" s="1980"/>
      <c r="Q5" s="1980"/>
      <c r="R5" s="1980"/>
      <c r="S5" s="1980"/>
      <c r="T5" s="1980"/>
      <c r="U5" s="1980"/>
    </row>
    <row customHeight="1" ht="27.75">
      <c r="C6" s="1882"/>
      <c r="D6" s="2505" t="s">
        <v>425</v>
      </c>
      <c r="E6" s="2505"/>
      <c r="F6" s="2505"/>
      <c r="G6" s="2505"/>
      <c r="H6" s="2505"/>
      <c r="I6" s="2505"/>
      <c r="J6" s="852"/>
      <c r="K6" s="1981"/>
    </row>
    <row customHeight="1" ht="17.25">
      <c r="C7" s="1882"/>
      <c r="D7" s="2474" t="str">
        <f>IF(org=0,"Не определено",org)</f>
        <v>АО "Мурманэнергосбыт"</v>
      </c>
      <c r="E7" s="2474"/>
      <c r="F7" s="2474"/>
      <c r="G7" s="2474"/>
      <c r="H7" s="2474"/>
      <c r="I7" s="2474"/>
      <c r="J7" s="852"/>
      <c r="K7" s="1981"/>
    </row>
    <row s="32092" customFormat="1" customHeight="1" ht="6">
      <c r="A8" s="1977"/>
      <c r="C8" s="847"/>
      <c r="D8" s="846"/>
      <c r="E8" s="846"/>
      <c r="F8" s="846"/>
      <c r="G8" s="846"/>
      <c r="H8" s="846"/>
      <c r="I8" s="846"/>
      <c r="J8" s="846"/>
      <c r="L8" s="1980"/>
      <c r="M8" s="1980"/>
      <c r="N8" s="1980"/>
      <c r="O8" s="1980"/>
      <c r="P8" s="1980"/>
      <c r="Q8" s="1980"/>
      <c r="R8" s="1980"/>
      <c r="S8" s="1980"/>
      <c r="T8" s="1980"/>
      <c r="U8" s="1980"/>
    </row>
    <row s="32092" customFormat="1" customHeight="1" ht="6">
      <c r="A9" s="1977"/>
      <c r="C9" s="847"/>
      <c r="D9" s="846"/>
      <c r="E9" s="846"/>
      <c r="F9" s="846"/>
      <c r="G9" s="846"/>
      <c r="H9" s="846"/>
      <c r="I9" s="846"/>
      <c r="J9" s="846"/>
      <c r="L9" s="1988"/>
      <c r="M9" s="1988"/>
      <c r="N9" s="1988"/>
      <c r="O9" s="1988"/>
      <c r="P9" s="1988"/>
      <c r="Q9" s="1988"/>
      <c r="R9" s="1988"/>
      <c r="S9" s="1988"/>
      <c r="T9" s="1988"/>
      <c r="U9" s="1988"/>
    </row>
    <row customHeight="1" ht="14.25">
      <c r="C10" s="1882"/>
      <c r="D10" s="2488" t="s">
        <v>341</v>
      </c>
      <c r="E10" s="2503"/>
      <c r="F10" s="2503"/>
      <c r="G10" s="2503"/>
      <c r="H10" s="2503"/>
      <c r="I10" s="2503"/>
      <c r="J10" s="2487" t="s">
        <v>342</v>
      </c>
    </row>
    <row customHeight="1" ht="25.5">
      <c r="C11" s="1882"/>
      <c r="D11" s="2392" t="s">
        <v>87</v>
      </c>
      <c r="E11" s="2487" t="s">
        <v>114</v>
      </c>
      <c r="F11" s="2450" t="s">
        <v>87</v>
      </c>
      <c r="G11" s="2451"/>
      <c r="H11" s="2449" t="s">
        <v>426</v>
      </c>
      <c r="I11" s="2449" t="s">
        <v>427</v>
      </c>
      <c r="J11" s="2487"/>
    </row>
    <row customHeight="1" ht="14.25">
      <c r="C12" s="1882"/>
      <c r="D12" s="2392"/>
      <c r="E12" s="2487"/>
      <c r="F12" s="2458"/>
      <c r="G12" s="2459"/>
      <c r="H12" s="2510"/>
      <c r="I12" s="2510"/>
      <c r="J12" s="2487"/>
    </row>
    <row s="32049" customFormat="1" customHeight="1" ht="11.25" hidden="1">
      <c r="C13" s="859"/>
      <c r="D13" s="860" t="s">
        <v>417</v>
      </c>
      <c r="E13" s="860"/>
      <c r="F13" s="860"/>
      <c r="G13" s="860"/>
      <c r="H13" s="858"/>
      <c r="I13" s="858"/>
      <c r="J13" s="796"/>
      <c r="L13" s="1980"/>
      <c r="M13" s="1980"/>
      <c r="N13" s="1980"/>
      <c r="O13" s="1980"/>
      <c r="P13" s="1980"/>
      <c r="Q13" s="1980"/>
      <c r="R13" s="1980"/>
      <c r="S13" s="1980"/>
      <c r="T13" s="1980"/>
      <c r="U13" s="1980"/>
    </row>
    <row customHeight="1" ht="14.25">
      <c r="A14" s="1973"/>
      <c r="C14" s="1882"/>
      <c r="D14" s="2506" t="s">
        <v>118</v>
      </c>
      <c r="E14" s="2508"/>
      <c r="F14" s="1983"/>
      <c r="G14" s="1982" t="s">
        <v>118</v>
      </c>
      <c r="H14" s="1989"/>
      <c r="I14" s="1987"/>
      <c r="J14" s="2436" t="s">
        <v>428</v>
      </c>
      <c r="K14" s="1973"/>
      <c r="R14" s="861" t="s">
        <v>422</v>
      </c>
      <c r="S14" s="861" t="s">
        <v>422</v>
      </c>
    </row>
    <row customHeight="1" ht="14.25">
      <c r="A15" s="1973"/>
      <c r="C15" s="1882"/>
      <c r="D15" s="2507"/>
      <c r="E15" s="2509"/>
      <c r="F15" s="766"/>
      <c r="G15" s="1230"/>
      <c r="H15" s="1230" t="s">
        <v>424</v>
      </c>
      <c r="I15" s="674"/>
      <c r="J15" s="2437"/>
      <c r="K15" s="1973"/>
      <c r="R15" s="861"/>
      <c r="S15" s="861"/>
    </row>
    <row customHeight="1" ht="14.25">
      <c r="A16" s="1973"/>
      <c r="C16" s="1882"/>
      <c r="D16" s="766"/>
      <c r="E16" s="1230" t="s">
        <v>129</v>
      </c>
      <c r="F16" s="674"/>
      <c r="G16" s="674"/>
      <c r="H16" s="767"/>
      <c r="I16" s="767"/>
      <c r="J16" s="2438"/>
      <c r="K16" s="1973"/>
    </row>
    <row customHeight="1" ht="14.25">
      <c r="K17" s="1973"/>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2056</vt:i4>
      </vt:variant>
    </vt:vector>
  </HeadingPairs>
  <TitlesOfParts>
    <vt:vector size="2057"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2023-11-10T12:28:34Z</dcterms:modified>
</cp:coreProperties>
</file>

<file path=docProps/custom.xml><?xml version="1.0" encoding="utf-8"?>
<Properties xmlns="http://schemas.openxmlformats.org/officeDocument/2006/custom-properties" xmlns:vt="http://schemas.openxmlformats.org/officeDocument/2006/docPropsVTypes"/>
</file>